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Library/Mobile Documents/com~apple~CloudDocs/特定行為関係/特定行為記録テンプレ/"/>
    </mc:Choice>
  </mc:AlternateContent>
  <xr:revisionPtr revIDLastSave="0" documentId="13_ncr:1_{799C2151-1688-C84A-9ED5-5BB8E200FE7B}" xr6:coauthVersionLast="47" xr6:coauthVersionMax="47" xr10:uidLastSave="{00000000-0000-0000-0000-000000000000}"/>
  <bookViews>
    <workbookView xWindow="0" yWindow="500" windowWidth="25600" windowHeight="19180" activeTab="3" xr2:uid="{4C99CE80-6CC0-1840-95B1-DC55B32D9374}"/>
  </bookViews>
  <sheets>
    <sheet name="高カロリー輸液投与に必要な計算 (簡易式)" sheetId="4" r:id="rId1"/>
    <sheet name="メモ" sheetId="6" r:id="rId2"/>
    <sheet name="高カロリー輸液投与に必要な計算(Haris)" sheetId="1" r:id="rId3"/>
    <sheet name="電解質データ分析" sheetId="2" r:id="rId4"/>
    <sheet name="ABG・呼吸器系アセスメント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6" l="1"/>
  <c r="N32" i="6"/>
  <c r="M32" i="6"/>
  <c r="L32" i="6"/>
  <c r="K32" i="6"/>
  <c r="J32" i="6"/>
  <c r="I32" i="6"/>
  <c r="H32" i="6"/>
  <c r="G32" i="6"/>
  <c r="D32" i="6"/>
  <c r="C32" i="6"/>
  <c r="C24" i="6"/>
  <c r="N24" i="6"/>
  <c r="M24" i="6"/>
  <c r="L24" i="6"/>
  <c r="K24" i="6"/>
  <c r="J24" i="6"/>
  <c r="I24" i="6"/>
  <c r="H24" i="6"/>
  <c r="G24" i="6"/>
  <c r="D24" i="6"/>
  <c r="M13" i="6"/>
  <c r="N13" i="6"/>
  <c r="H13" i="6"/>
  <c r="I13" i="6"/>
  <c r="J13" i="6"/>
  <c r="K13" i="6"/>
  <c r="L13" i="6"/>
  <c r="D13" i="6"/>
  <c r="G13" i="6"/>
  <c r="C13" i="6"/>
  <c r="J12" i="5"/>
  <c r="I22" i="5"/>
  <c r="B22" i="5"/>
  <c r="D19" i="5"/>
  <c r="G19" i="5"/>
  <c r="F19" i="5"/>
  <c r="D17" i="5"/>
  <c r="G17" i="5"/>
  <c r="F17" i="5"/>
  <c r="D4" i="5"/>
  <c r="D37" i="2"/>
  <c r="E37" i="2"/>
  <c r="D33" i="2"/>
  <c r="E33" i="2"/>
  <c r="D29" i="2"/>
  <c r="E29" i="2"/>
  <c r="G5" i="4"/>
  <c r="E8" i="4" s="1"/>
  <c r="E12" i="1"/>
  <c r="E16" i="1"/>
  <c r="I21" i="1" s="1"/>
  <c r="E21" i="1" s="1"/>
  <c r="E11" i="1"/>
  <c r="E15" i="1"/>
  <c r="I18" i="1" s="1"/>
  <c r="E18" i="1" s="1"/>
  <c r="G5" i="1"/>
  <c r="E8" i="1"/>
  <c r="G10" i="1"/>
  <c r="G9" i="1"/>
  <c r="E9" i="1"/>
  <c r="G17" i="1"/>
  <c r="E17" i="1"/>
  <c r="E10" i="1"/>
  <c r="E7" i="1"/>
  <c r="I17" i="1"/>
  <c r="E24" i="1"/>
  <c r="K17" i="1"/>
  <c r="G24" i="1"/>
  <c r="E22" i="1" l="1"/>
  <c r="E25" i="1" s="1"/>
  <c r="K20" i="1"/>
  <c r="G20" i="1" s="1"/>
  <c r="K19" i="1"/>
  <c r="G19" i="1" s="1"/>
  <c r="I19" i="1"/>
  <c r="E19" i="1" s="1"/>
  <c r="G22" i="1"/>
  <c r="G25" i="1" s="1"/>
  <c r="K21" i="1"/>
  <c r="G21" i="1" s="1"/>
  <c r="K18" i="1"/>
  <c r="G18" i="1" s="1"/>
  <c r="E23" i="1"/>
  <c r="E26" i="1" s="1"/>
  <c r="I20" i="1"/>
  <c r="E20" i="1" s="1"/>
  <c r="G23" i="1"/>
  <c r="G26" i="1" s="1"/>
  <c r="G11" i="4"/>
  <c r="E9" i="4"/>
  <c r="G9" i="4"/>
  <c r="E11" i="4"/>
  <c r="E10" i="4"/>
  <c r="G10" i="4"/>
  <c r="E7" i="4"/>
  <c r="K12" i="4" l="1"/>
  <c r="G12" i="4" s="1"/>
  <c r="K13" i="4"/>
  <c r="G13" i="4" s="1"/>
  <c r="I12" i="4"/>
  <c r="E12" i="4" s="1"/>
  <c r="I13" i="4"/>
  <c r="E13" i="4" s="1"/>
  <c r="G14" i="4"/>
  <c r="G16" i="4" s="1"/>
  <c r="E15" i="4"/>
  <c r="I11" i="4"/>
  <c r="E14" i="4" s="1"/>
  <c r="E16" i="4" s="1"/>
  <c r="K11" i="4"/>
  <c r="G15" i="4"/>
</calcChain>
</file>

<file path=xl/sharedStrings.xml><?xml version="1.0" encoding="utf-8"?>
<sst xmlns="http://schemas.openxmlformats.org/spreadsheetml/2006/main" count="252" uniqueCount="150">
  <si>
    <t>年齢</t>
    <rPh sb="0" eb="2">
      <t xml:space="preserve">ネンレイ </t>
    </rPh>
    <phoneticPr fontId="1"/>
  </si>
  <si>
    <t>性別</t>
    <rPh sb="0" eb="2">
      <t xml:space="preserve">セイベツ </t>
    </rPh>
    <phoneticPr fontId="1"/>
  </si>
  <si>
    <t>体重(Kg)</t>
    <rPh sb="0" eb="2">
      <t xml:space="preserve">タイジュウ </t>
    </rPh>
    <phoneticPr fontId="1"/>
  </si>
  <si>
    <t>BMI</t>
    <phoneticPr fontId="1"/>
  </si>
  <si>
    <t>標準体重</t>
    <rPh sb="0" eb="4">
      <t xml:space="preserve">ヒョウジュンタイジュウ </t>
    </rPh>
    <phoneticPr fontId="1"/>
  </si>
  <si>
    <t>必要水分量</t>
    <rPh sb="0" eb="5">
      <t xml:space="preserve">ヒツヨウスイブンリョウ </t>
    </rPh>
    <phoneticPr fontId="1"/>
  </si>
  <si>
    <t>検査項目</t>
    <rPh sb="0" eb="4">
      <t xml:space="preserve">ケンサコウモク </t>
    </rPh>
    <phoneticPr fontId="1"/>
  </si>
  <si>
    <t>WBC</t>
    <phoneticPr fontId="1"/>
  </si>
  <si>
    <t>RBC</t>
    <phoneticPr fontId="1"/>
  </si>
  <si>
    <t>Hb</t>
    <phoneticPr fontId="1"/>
  </si>
  <si>
    <t>Ht</t>
    <phoneticPr fontId="1"/>
  </si>
  <si>
    <t>PLT</t>
    <phoneticPr fontId="1"/>
  </si>
  <si>
    <t>Na</t>
    <phoneticPr fontId="1"/>
  </si>
  <si>
    <t>K</t>
    <phoneticPr fontId="1"/>
  </si>
  <si>
    <t>Cl</t>
    <phoneticPr fontId="1"/>
  </si>
  <si>
    <t>Ca</t>
    <phoneticPr fontId="1"/>
  </si>
  <si>
    <t>無機リン</t>
    <rPh sb="0" eb="2">
      <t xml:space="preserve">ムキ </t>
    </rPh>
    <phoneticPr fontId="1"/>
  </si>
  <si>
    <t>BS</t>
    <phoneticPr fontId="1"/>
  </si>
  <si>
    <t>TP</t>
    <phoneticPr fontId="1"/>
  </si>
  <si>
    <t>Alb</t>
    <phoneticPr fontId="1"/>
  </si>
  <si>
    <t>BUN</t>
    <phoneticPr fontId="1"/>
  </si>
  <si>
    <t>Cre</t>
    <phoneticPr fontId="1"/>
  </si>
  <si>
    <t>eGFR</t>
    <phoneticPr fontId="1"/>
  </si>
  <si>
    <t>LDH</t>
    <phoneticPr fontId="1"/>
  </si>
  <si>
    <t>CRP</t>
    <phoneticPr fontId="1"/>
  </si>
  <si>
    <t>正常値</t>
    <rPh sb="0" eb="3">
      <t xml:space="preserve">セイジョウチ </t>
    </rPh>
    <phoneticPr fontId="1"/>
  </si>
  <si>
    <t>4000-9000/μL</t>
    <phoneticPr fontId="1"/>
  </si>
  <si>
    <t>380-480万/μL</t>
    <rPh sb="7" eb="8">
      <t xml:space="preserve">マン </t>
    </rPh>
    <phoneticPr fontId="1"/>
  </si>
  <si>
    <t>12-16g/dl</t>
    <phoneticPr fontId="1"/>
  </si>
  <si>
    <t>36-42%</t>
    <phoneticPr fontId="1"/>
  </si>
  <si>
    <t>13-41万/μL</t>
    <rPh sb="5" eb="6">
      <t xml:space="preserve">マン </t>
    </rPh>
    <phoneticPr fontId="1"/>
  </si>
  <si>
    <t>136-145mEq/L</t>
    <phoneticPr fontId="1"/>
  </si>
  <si>
    <t>3.6-4.8mEq/L</t>
    <phoneticPr fontId="1"/>
  </si>
  <si>
    <t>96-108mEq/L</t>
    <phoneticPr fontId="1"/>
  </si>
  <si>
    <t>8.7-10.3mg/dl</t>
    <phoneticPr fontId="1"/>
  </si>
  <si>
    <t>2.5-4.6mg/dl</t>
    <phoneticPr fontId="1"/>
  </si>
  <si>
    <t>110mg/dl未満</t>
    <rPh sb="8" eb="10">
      <t xml:space="preserve">ミマン </t>
    </rPh>
    <phoneticPr fontId="1"/>
  </si>
  <si>
    <t>6.7-8.3g/dl</t>
    <phoneticPr fontId="1"/>
  </si>
  <si>
    <t>3.8-5.3g/dl</t>
    <phoneticPr fontId="1"/>
  </si>
  <si>
    <t>8.0-20.0mg/dl</t>
    <phoneticPr fontId="1"/>
  </si>
  <si>
    <t>0.60-1.10mg/dl</t>
    <phoneticPr fontId="1"/>
  </si>
  <si>
    <t>90以上</t>
    <rPh sb="2" eb="4">
      <t xml:space="preserve">イジョウ </t>
    </rPh>
    <phoneticPr fontId="1"/>
  </si>
  <si>
    <t>120-240U/L</t>
    <phoneticPr fontId="1"/>
  </si>
  <si>
    <t>0.3mg/dl以下</t>
    <rPh sb="8" eb="10">
      <t xml:space="preserve">イカ </t>
    </rPh>
    <phoneticPr fontId="1"/>
  </si>
  <si>
    <t>1/</t>
    <phoneticPr fontId="1"/>
  </si>
  <si>
    <t>術後○日目</t>
    <rPh sb="0" eb="2">
      <t xml:space="preserve">ジュツゴ </t>
    </rPh>
    <rPh sb="3" eb="5">
      <t xml:space="preserve">ニチメ </t>
    </rPh>
    <phoneticPr fontId="1"/>
  </si>
  <si>
    <t>数式</t>
    <rPh sb="0" eb="2">
      <t xml:space="preserve">スウシキ </t>
    </rPh>
    <phoneticPr fontId="1"/>
  </si>
  <si>
    <t>BMI ＝ 体重kg ÷ (身長m)2</t>
    <phoneticPr fontId="1"/>
  </si>
  <si>
    <t>データ</t>
    <phoneticPr fontId="1"/>
  </si>
  <si>
    <t>男/女</t>
    <rPh sb="0" eb="1">
      <t xml:space="preserve">オトコ </t>
    </rPh>
    <rPh sb="2" eb="3">
      <t xml:space="preserve">オンナ </t>
    </rPh>
    <phoneticPr fontId="1"/>
  </si>
  <si>
    <t>身長(cm/m)</t>
    <rPh sb="0" eb="2">
      <t xml:space="preserve">シンチョウ </t>
    </rPh>
    <phoneticPr fontId="1"/>
  </si>
  <si>
    <t>標準体重 ＝ (身長m)2 ×22</t>
    <rPh sb="0" eb="2">
      <t xml:space="preserve">ヒョウジュン </t>
    </rPh>
    <phoneticPr fontId="1"/>
  </si>
  <si>
    <t>標準体重(kg)*25-30kcal</t>
    <rPh sb="0" eb="1">
      <t xml:space="preserve">ヒョウジュンタイジュウ </t>
    </rPh>
    <phoneticPr fontId="1"/>
  </si>
  <si>
    <t>~</t>
    <phoneticPr fontId="1"/>
  </si>
  <si>
    <t>66.47+(13.75*体重kg)+(5.0*身長cm)-(6.76*年齢)</t>
    <rPh sb="13" eb="15">
      <t xml:space="preserve">タイジュウ </t>
    </rPh>
    <rPh sb="24" eb="26">
      <t xml:space="preserve">シンチョウ </t>
    </rPh>
    <rPh sb="36" eb="38">
      <t xml:space="preserve">ネンレイ </t>
    </rPh>
    <phoneticPr fontId="1"/>
  </si>
  <si>
    <t>655.1+(9.56*体重kg)+(1.85*身長cm)-(4.68*年齢)</t>
    <rPh sb="12" eb="14">
      <t xml:space="preserve">タイジュウ </t>
    </rPh>
    <rPh sb="24" eb="26">
      <t xml:space="preserve">シンチョウ </t>
    </rPh>
    <rPh sb="36" eb="38">
      <t xml:space="preserve">ネンレイ </t>
    </rPh>
    <phoneticPr fontId="1"/>
  </si>
  <si>
    <t>男性(Harris)必要カロリーBEE(kcal)</t>
    <rPh sb="0" eb="1">
      <t xml:space="preserve">オトコ </t>
    </rPh>
    <rPh sb="1" eb="2">
      <t xml:space="preserve">セイ </t>
    </rPh>
    <phoneticPr fontId="1"/>
  </si>
  <si>
    <t>女性(Harris)必要カロリーBEE(kcal)</t>
    <rPh sb="0" eb="1">
      <t xml:space="preserve">オンナ </t>
    </rPh>
    <rPh sb="1" eb="2">
      <t xml:space="preserve">セイ </t>
    </rPh>
    <phoneticPr fontId="1"/>
  </si>
  <si>
    <t>活動係数(AF)</t>
    <rPh sb="0" eb="4">
      <t xml:space="preserve">カツドウケイスウ トコ ウエ アンセイ リショウ </t>
    </rPh>
    <phoneticPr fontId="1"/>
  </si>
  <si>
    <t>床上安静1.2　離床1.3</t>
    <phoneticPr fontId="1"/>
  </si>
  <si>
    <t>ストレス係数(SF)</t>
    <rPh sb="4" eb="6">
      <t xml:space="preserve">ケイスウ </t>
    </rPh>
    <phoneticPr fontId="1"/>
  </si>
  <si>
    <t>表を参照</t>
    <rPh sb="0" eb="1">
      <t xml:space="preserve">ヒョウ </t>
    </rPh>
    <rPh sb="2" eb="4">
      <t xml:space="preserve">サンショウ </t>
    </rPh>
    <phoneticPr fontId="1"/>
  </si>
  <si>
    <t>TEE=BEE*AF*SF</t>
    <phoneticPr fontId="1"/>
  </si>
  <si>
    <t>男性総エネルギー消費量TEE(kcal/day)</t>
    <rPh sb="0" eb="2">
      <t xml:space="preserve">ダンセイ </t>
    </rPh>
    <rPh sb="2" eb="3">
      <t xml:space="preserve">ソウエネルギー </t>
    </rPh>
    <rPh sb="8" eb="11">
      <t xml:space="preserve">ショウヒリョウ </t>
    </rPh>
    <phoneticPr fontId="1"/>
  </si>
  <si>
    <t>女性総エネルギー消費量TEE(kcal/day)</t>
    <rPh sb="0" eb="2">
      <t xml:space="preserve">ジョセイ </t>
    </rPh>
    <rPh sb="2" eb="3">
      <t xml:space="preserve">ソウエネルギー </t>
    </rPh>
    <rPh sb="8" eb="11">
      <t xml:space="preserve">ショウヒリョウ </t>
    </rPh>
    <phoneticPr fontId="1"/>
  </si>
  <si>
    <t>必要タンパク質(g/kg/day)</t>
    <phoneticPr fontId="1"/>
  </si>
  <si>
    <t>(簡易式)必要カロリーTEE(kcal)</t>
    <rPh sb="1" eb="3">
      <t xml:space="preserve">カンイ </t>
    </rPh>
    <rPh sb="3" eb="4">
      <t xml:space="preserve">シキ </t>
    </rPh>
    <rPh sb="5" eb="6">
      <t xml:space="preserve">ヒツヨウ </t>
    </rPh>
    <phoneticPr fontId="1"/>
  </si>
  <si>
    <t>=</t>
    <phoneticPr fontId="1"/>
  </si>
  <si>
    <t>男性　必要脂質(g/kg/day)</t>
    <rPh sb="0" eb="2">
      <t xml:space="preserve">ダンセイ </t>
    </rPh>
    <rPh sb="3" eb="5">
      <t xml:space="preserve">シシツ </t>
    </rPh>
    <phoneticPr fontId="1"/>
  </si>
  <si>
    <t>女性　必要脂質(g/kg/day)</t>
    <rPh sb="0" eb="2">
      <t xml:space="preserve">ジョセイ </t>
    </rPh>
    <rPh sb="3" eb="5">
      <t xml:space="preserve">シシツ </t>
    </rPh>
    <phoneticPr fontId="1"/>
  </si>
  <si>
    <t>0.8-1.0g/kg/day  g*4でkcalへ換算</t>
    <rPh sb="26" eb="28">
      <t xml:space="preserve">カンサン </t>
    </rPh>
    <phoneticPr fontId="1"/>
  </si>
  <si>
    <t>TEE*0.2~0.4(kcal)　kcal/9でgへ換算</t>
    <rPh sb="27" eb="29">
      <t xml:space="preserve">カンサン </t>
    </rPh>
    <phoneticPr fontId="1"/>
  </si>
  <si>
    <t>男性　必要炭水化物(g/kg/day)</t>
    <rPh sb="0" eb="2">
      <t xml:space="preserve">ダンセイ </t>
    </rPh>
    <rPh sb="3" eb="5">
      <t xml:space="preserve">ヒツヨウ </t>
    </rPh>
    <rPh sb="5" eb="9">
      <t xml:space="preserve">タンスイカブツ </t>
    </rPh>
    <phoneticPr fontId="1"/>
  </si>
  <si>
    <t>女性　必要炭水化物(g/kg/day)</t>
    <rPh sb="0" eb="2">
      <t xml:space="preserve">ジョセイ </t>
    </rPh>
    <rPh sb="3" eb="5">
      <t xml:space="preserve">ヒツヨウ </t>
    </rPh>
    <rPh sb="5" eb="9">
      <t xml:space="preserve">タンスイカブツ </t>
    </rPh>
    <phoneticPr fontId="1"/>
  </si>
  <si>
    <t>(TEE-必要蛋白質kcal)/(必要蛋白質g/6.25)</t>
    <rPh sb="5" eb="7">
      <t xml:space="preserve">ヒツヨウ </t>
    </rPh>
    <rPh sb="7" eb="9">
      <t xml:space="preserve">タンパク </t>
    </rPh>
    <rPh sb="17" eb="19">
      <t xml:space="preserve">ヒツヨウ </t>
    </rPh>
    <rPh sb="19" eb="21">
      <t xml:space="preserve">タンパク </t>
    </rPh>
    <phoneticPr fontId="1"/>
  </si>
  <si>
    <t>男性　NPC(kcal)</t>
    <rPh sb="0" eb="2">
      <t xml:space="preserve">ダンセイ </t>
    </rPh>
    <phoneticPr fontId="1"/>
  </si>
  <si>
    <t>女性　NPC(kcal)</t>
    <rPh sb="0" eb="2">
      <t xml:space="preserve">ジョセイ </t>
    </rPh>
    <phoneticPr fontId="1"/>
  </si>
  <si>
    <t>タンパク質6.25gあたり窒素が1g含有</t>
    <rPh sb="13" eb="15">
      <t xml:space="preserve">チッソ </t>
    </rPh>
    <rPh sb="18" eb="20">
      <t xml:space="preserve">ガンユウ </t>
    </rPh>
    <phoneticPr fontId="1"/>
  </si>
  <si>
    <t>TEE-必要蛋白質kcal</t>
    <rPh sb="4" eb="6">
      <t xml:space="preserve">ヒツヨウ </t>
    </rPh>
    <rPh sb="6" eb="8">
      <t xml:space="preserve">タンパク </t>
    </rPh>
    <phoneticPr fontId="1"/>
  </si>
  <si>
    <t>TEE*0.5~0.6  kcal/4でgへ換算</t>
    <phoneticPr fontId="1"/>
  </si>
  <si>
    <t>男性　NPC/N</t>
    <rPh sb="0" eb="2">
      <t xml:space="preserve">ダンセイ </t>
    </rPh>
    <phoneticPr fontId="1"/>
  </si>
  <si>
    <t>女性　NPC/N</t>
    <rPh sb="0" eb="2">
      <t xml:space="preserve">ジョセイ </t>
    </rPh>
    <phoneticPr fontId="1"/>
  </si>
  <si>
    <t>N(窒素:g)</t>
    <rPh sb="2" eb="4">
      <t xml:space="preserve">チッソ </t>
    </rPh>
    <phoneticPr fontId="1"/>
  </si>
  <si>
    <t>標準体重kg*30~40ml</t>
    <rPh sb="0" eb="4">
      <t xml:space="preserve">ヒョウジュンタイジュウ </t>
    </rPh>
    <phoneticPr fontId="1"/>
  </si>
  <si>
    <t>必要脂質(g/kg/day)</t>
    <rPh sb="0" eb="2">
      <t xml:space="preserve">シシツ </t>
    </rPh>
    <phoneticPr fontId="1"/>
  </si>
  <si>
    <t>必要炭水化物(g/kg/day)</t>
    <rPh sb="0" eb="2">
      <t xml:space="preserve">ヒツヨウ </t>
    </rPh>
    <rPh sb="2" eb="6">
      <t xml:space="preserve">タンスイカブツ </t>
    </rPh>
    <phoneticPr fontId="1"/>
  </si>
  <si>
    <t>NPC(kcal)</t>
    <phoneticPr fontId="1"/>
  </si>
  <si>
    <t>NPC/N</t>
    <phoneticPr fontId="1"/>
  </si>
  <si>
    <t>2*Na(mEq/L)+血漿Glu濃度(mg/dl)/18+BUN(mg/dl)/2.8</t>
    <phoneticPr fontId="1"/>
  </si>
  <si>
    <t>判定</t>
    <rPh sb="0" eb="2">
      <t xml:space="preserve">ハンテイ </t>
    </rPh>
    <phoneticPr fontId="1"/>
  </si>
  <si>
    <t>結果</t>
    <rPh sb="0" eb="2">
      <t xml:space="preserve">ケッカ </t>
    </rPh>
    <phoneticPr fontId="1"/>
  </si>
  <si>
    <t>血漿浸透圧(mOsm/L)算出式</t>
    <rPh sb="13" eb="15">
      <t xml:space="preserve">サンシュツ </t>
    </rPh>
    <rPh sb="15" eb="16">
      <t xml:space="preserve">シキ </t>
    </rPh>
    <phoneticPr fontId="1"/>
  </si>
  <si>
    <t>BUN/Cre比（腎機能指数）</t>
    <rPh sb="7" eb="8">
      <t xml:space="preserve">ヒリツ </t>
    </rPh>
    <rPh sb="9" eb="12">
      <t xml:space="preserve">ジンキノウシヒョウ </t>
    </rPh>
    <rPh sb="12" eb="14">
      <t xml:space="preserve">シスウ </t>
    </rPh>
    <phoneticPr fontId="1"/>
  </si>
  <si>
    <t>呼吸器系アセスメント</t>
    <rPh sb="0" eb="3">
      <t xml:space="preserve">コキュウキ </t>
    </rPh>
    <rPh sb="3" eb="4">
      <t xml:space="preserve">ケイ </t>
    </rPh>
    <phoneticPr fontId="1"/>
  </si>
  <si>
    <t>BUN/Cre
正常値10前後
10以下腎性因子
10以上で腎外性因子</t>
    <rPh sb="4" eb="5">
      <t>Cre</t>
    </rPh>
    <rPh sb="8" eb="11">
      <t xml:space="preserve">セイジョウチ </t>
    </rPh>
    <rPh sb="13" eb="15">
      <t xml:space="preserve">ゼンゴ </t>
    </rPh>
    <rPh sb="18" eb="20">
      <t xml:space="preserve">イカ </t>
    </rPh>
    <rPh sb="20" eb="22">
      <t xml:space="preserve">ジンセイ </t>
    </rPh>
    <rPh sb="22" eb="24">
      <t xml:space="preserve">インシ </t>
    </rPh>
    <rPh sb="27" eb="29">
      <t xml:space="preserve">イジョウ </t>
    </rPh>
    <rPh sb="30" eb="31">
      <t xml:space="preserve">ジンゾウ </t>
    </rPh>
    <rPh sb="31" eb="32">
      <t xml:space="preserve">ソト </t>
    </rPh>
    <rPh sb="32" eb="33">
      <t xml:space="preserve">セイ </t>
    </rPh>
    <rPh sb="33" eb="35">
      <t xml:space="preserve">インシ </t>
    </rPh>
    <phoneticPr fontId="1"/>
  </si>
  <si>
    <t>Na-(Cl+HCO3)
正常値12±2ｍEq/L</t>
    <phoneticPr fontId="1"/>
  </si>
  <si>
    <t>HCO3</t>
    <phoneticPr fontId="1"/>
  </si>
  <si>
    <t>24mEq/L</t>
    <phoneticPr fontId="1"/>
  </si>
  <si>
    <t>アニオンギャップ（AG）
代謝性アシドーシス原因鑑別</t>
    <phoneticPr fontId="1"/>
  </si>
  <si>
    <t>↑計算セル</t>
    <rPh sb="1" eb="3">
      <t xml:space="preserve">ケイサン </t>
    </rPh>
    <phoneticPr fontId="1"/>
  </si>
  <si>
    <t>pH</t>
    <phoneticPr fontId="1"/>
  </si>
  <si>
    <t>PaCO2</t>
    <phoneticPr fontId="1"/>
  </si>
  <si>
    <t>PaO2</t>
    <phoneticPr fontId="1"/>
  </si>
  <si>
    <t>SaO2</t>
    <phoneticPr fontId="1"/>
  </si>
  <si>
    <t>Lac</t>
    <phoneticPr fontId="1"/>
  </si>
  <si>
    <t>HCO3-</t>
    <phoneticPr fontId="1"/>
  </si>
  <si>
    <t>計算式</t>
    <rPh sb="0" eb="3">
      <t xml:space="preserve">ケイサンシキ </t>
    </rPh>
    <phoneticPr fontId="1"/>
  </si>
  <si>
    <t>男性</t>
    <rPh sb="0" eb="2">
      <t xml:space="preserve">ダンセイ </t>
    </rPh>
    <phoneticPr fontId="1"/>
  </si>
  <si>
    <t>女性</t>
    <rPh sb="0" eb="2">
      <t xml:space="preserve">ジョセイ </t>
    </rPh>
    <phoneticPr fontId="1"/>
  </si>
  <si>
    <t>*Kg/6ml</t>
    <phoneticPr fontId="1"/>
  </si>
  <si>
    <t>*Kg/8ml</t>
    <phoneticPr fontId="1"/>
  </si>
  <si>
    <t>身長(cm)</t>
    <rPh sb="0" eb="2">
      <t xml:space="preserve">シンチョウ </t>
    </rPh>
    <phoneticPr fontId="1"/>
  </si>
  <si>
    <t>体重(kg)</t>
    <rPh sb="0" eb="2">
      <t xml:space="preserve">タイジュウ </t>
    </rPh>
    <phoneticPr fontId="1"/>
  </si>
  <si>
    <t>50+0.91*(身長cm-152.4)</t>
    <rPh sb="9" eb="11">
      <t xml:space="preserve">シンチョウ </t>
    </rPh>
    <phoneticPr fontId="1"/>
  </si>
  <si>
    <t>一回換気量換算</t>
    <phoneticPr fontId="1"/>
  </si>
  <si>
    <t>Fio2(%)</t>
    <phoneticPr fontId="1"/>
  </si>
  <si>
    <t>P/F</t>
    <phoneticPr fontId="1"/>
  </si>
  <si>
    <t>予測(理想 )体重</t>
    <rPh sb="0" eb="2">
      <t xml:space="preserve">ヨソク </t>
    </rPh>
    <rPh sb="3" eb="5">
      <t xml:space="preserve">リソウ </t>
    </rPh>
    <rPh sb="7" eb="9">
      <t xml:space="preserve">リソウタイジュウ </t>
    </rPh>
    <phoneticPr fontId="1"/>
  </si>
  <si>
    <t>A-aDO2</t>
    <phoneticPr fontId="1"/>
  </si>
  <si>
    <t>PAO2-PaO2
≒(713*Fio2)-40/0.8-PaO2
RoomAir下正常値：＜10-20Torr
FiO2=100%下での正常値：60-70Torr</t>
    <rPh sb="41" eb="42">
      <t xml:space="preserve">カ </t>
    </rPh>
    <rPh sb="42" eb="45">
      <t xml:space="preserve">セイジョウチ </t>
    </rPh>
    <rPh sb="66" eb="67">
      <t>↓</t>
    </rPh>
    <rPh sb="69" eb="72">
      <t xml:space="preserve">セイジョウチ </t>
    </rPh>
    <phoneticPr fontId="1"/>
  </si>
  <si>
    <t>45.5+0.91*(身長cm-152.4)</t>
  </si>
  <si>
    <t>ノボリンR100    100単位</t>
  </si>
  <si>
    <t>KCL 20mEqキット　1キット</t>
  </si>
  <si>
    <t>エレジェクト注シリンジ　2ml *2筒</t>
    <phoneticPr fontId="1"/>
  </si>
  <si>
    <t>K(mEq)</t>
    <phoneticPr fontId="1"/>
  </si>
  <si>
    <t>現在の投与エネルギー計算</t>
    <rPh sb="0" eb="2">
      <t xml:space="preserve">ゲンザイ </t>
    </rPh>
    <rPh sb="3" eb="5">
      <t xml:space="preserve">トウヨ </t>
    </rPh>
    <rPh sb="10" eb="12">
      <t xml:space="preserve">ケイサン </t>
    </rPh>
    <phoneticPr fontId="1"/>
  </si>
  <si>
    <t>Na(mEq)</t>
    <phoneticPr fontId="1"/>
  </si>
  <si>
    <t>Cl(mEq)</t>
    <phoneticPr fontId="1"/>
  </si>
  <si>
    <t>熱量(kcal)</t>
    <phoneticPr fontId="1"/>
  </si>
  <si>
    <t>糖質(g)</t>
    <rPh sb="0" eb="2">
      <t xml:space="preserve">トウシツ </t>
    </rPh>
    <phoneticPr fontId="1"/>
  </si>
  <si>
    <t>Mg(mEq)</t>
    <phoneticPr fontId="1"/>
  </si>
  <si>
    <t>Ca(mEq)</t>
    <phoneticPr fontId="1"/>
  </si>
  <si>
    <t>Zn(mEq)</t>
    <phoneticPr fontId="1"/>
  </si>
  <si>
    <t>計</t>
    <rPh sb="0" eb="1">
      <t xml:space="preserve">ケイ </t>
    </rPh>
    <phoneticPr fontId="1"/>
  </si>
  <si>
    <t>水分量</t>
    <rPh sb="0" eb="3">
      <t xml:space="preserve">スイブンリョウ </t>
    </rPh>
    <phoneticPr fontId="1"/>
  </si>
  <si>
    <t>男</t>
    <rPh sb="0" eb="1">
      <t xml:space="preserve">オトコ </t>
    </rPh>
    <phoneticPr fontId="1"/>
  </si>
  <si>
    <t>P(mg)</t>
    <phoneticPr fontId="1"/>
  </si>
  <si>
    <t>イントラリポス20％　100ml</t>
  </si>
  <si>
    <t>脂質(g)</t>
  </si>
  <si>
    <t>タンパク質</t>
  </si>
  <si>
    <t>フルカリック3号輸液1103ml　*1本</t>
  </si>
  <si>
    <t>エレジェクト注シリンジ　2ml *1筒</t>
  </si>
  <si>
    <t>ビタジェクト注キット</t>
  </si>
  <si>
    <t>フルカリック3号輸液1103ml　*2本</t>
    <phoneticPr fontId="1"/>
  </si>
  <si>
    <t>H氏</t>
    <rPh sb="1" eb="2">
      <t xml:space="preserve">シ </t>
    </rPh>
    <phoneticPr fontId="1"/>
  </si>
  <si>
    <t>M氏</t>
    <rPh sb="1" eb="2">
      <t xml:space="preserve">シ </t>
    </rPh>
    <phoneticPr fontId="1"/>
  </si>
  <si>
    <t>O氏</t>
    <rPh sb="1" eb="2">
      <t xml:space="preserve">シ </t>
    </rPh>
    <phoneticPr fontId="1"/>
  </si>
  <si>
    <t>投与エネルギー計算</t>
    <rPh sb="0" eb="2">
      <t xml:space="preserve">トウヨ </t>
    </rPh>
    <rPh sb="7" eb="9">
      <t xml:space="preserve">ケイサン </t>
    </rPh>
    <phoneticPr fontId="1"/>
  </si>
  <si>
    <t>å</t>
    <phoneticPr fontId="1"/>
  </si>
  <si>
    <t>通常は150程度に設定するが，侵襲時には100前後と低値となる．一方で，腎不全患者では，タンパク質の異化亢進を改善するため，健常者より多くのエネルギーを必要とするため，NPC/N比の目安を300以上とする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</si>
</sst>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76" formatCode="0.0_ "/>
    <numFmt numFmtId="177" formatCode="General&quot;m&quot;"/>
    <numFmt numFmtId="178" formatCode="0.0_);[Red]\(0.0\)"/>
    <numFmt numFmtId="179" formatCode="0.0&quot;kcal&quot;"/>
    <numFmt numFmtId="180" formatCode="0.0_ &quot;kcal&quot;"/>
    <numFmt numFmtId="181" formatCode="0.0_ &quot;g/day&quot;"/>
    <numFmt numFmtId="182" formatCode="0.0_ &quot;g&quot;"/>
    <numFmt numFmtId="183" formatCode="0.0_ &quot;kg&quot;"/>
    <numFmt numFmtId="184" formatCode="0_);[Red]\(0\)"/>
    <numFmt numFmtId="185" formatCode="0&quot;ml/day&quot;"/>
    <numFmt numFmtId="186" formatCode="0_ &quot;歳&quot;"/>
    <numFmt numFmtId="187" formatCode="0.0_ &quot;cm&quot;"/>
    <numFmt numFmtId="188" formatCode="0_ &quot;cm&quot;"/>
    <numFmt numFmtId="189" formatCode="0_ "/>
    <numFmt numFmtId="190" formatCode="0.00_ &quot;m&quot;"/>
  </numFmts>
  <fonts count="7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24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5" xfId="0" applyNumberFormat="1" applyBorder="1">
      <alignment vertical="center"/>
    </xf>
    <xf numFmtId="180" fontId="0" fillId="0" borderId="1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179" fontId="0" fillId="0" borderId="5" xfId="0" applyNumberFormat="1" applyBorder="1">
      <alignment vertical="center"/>
    </xf>
    <xf numFmtId="176" fontId="0" fillId="0" borderId="2" xfId="0" applyNumberFormat="1" applyBorder="1">
      <alignment vertical="center"/>
    </xf>
    <xf numFmtId="181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2" fontId="0" fillId="0" borderId="1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83" fontId="0" fillId="0" borderId="2" xfId="0" applyNumberFormat="1" applyBorder="1">
      <alignment vertical="center"/>
    </xf>
    <xf numFmtId="176" fontId="0" fillId="0" borderId="4" xfId="0" applyNumberFormat="1" applyBorder="1">
      <alignment vertical="center"/>
    </xf>
    <xf numFmtId="184" fontId="0" fillId="0" borderId="1" xfId="0" applyNumberFormat="1" applyBorder="1">
      <alignment vertical="center"/>
    </xf>
    <xf numFmtId="184" fontId="0" fillId="0" borderId="1" xfId="0" applyNumberFormat="1" applyBorder="1" applyAlignment="1">
      <alignment horizontal="center" vertical="center"/>
    </xf>
    <xf numFmtId="185" fontId="0" fillId="0" borderId="1" xfId="0" applyNumberFormat="1" applyBorder="1">
      <alignment vertical="center"/>
    </xf>
    <xf numFmtId="186" fontId="0" fillId="0" borderId="2" xfId="0" applyNumberFormat="1" applyBorder="1" applyAlignment="1">
      <alignment horizontal="right" vertical="center"/>
    </xf>
    <xf numFmtId="187" fontId="0" fillId="0" borderId="2" xfId="0" applyNumberFormat="1" applyBorder="1" applyAlignment="1">
      <alignment horizontal="right"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190" fontId="0" fillId="0" borderId="0" xfId="0" applyNumberFormat="1">
      <alignment vertical="center"/>
    </xf>
    <xf numFmtId="0" fontId="0" fillId="0" borderId="3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188" fontId="6" fillId="0" borderId="2" xfId="0" applyNumberFormat="1" applyFont="1" applyBorder="1">
      <alignment vertical="center"/>
    </xf>
    <xf numFmtId="183" fontId="6" fillId="0" borderId="2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189" fontId="5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4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56" fontId="0" fillId="0" borderId="1" xfId="0" applyNumberForma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89" fontId="5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標準" xfId="0" builtinId="0"/>
  </cellStyles>
  <dxfs count="3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</xdr:colOff>
      <xdr:row>20</xdr:row>
      <xdr:rowOff>114300</xdr:rowOff>
    </xdr:from>
    <xdr:to>
      <xdr:col>9</xdr:col>
      <xdr:colOff>64076</xdr:colOff>
      <xdr:row>26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BE00C82-6A38-E16B-E766-8D60A1B58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599" y="5537200"/>
          <a:ext cx="9462077" cy="1409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863600</xdr:colOff>
      <xdr:row>37</xdr:row>
      <xdr:rowOff>171450</xdr:rowOff>
    </xdr:from>
    <xdr:to>
      <xdr:col>5</xdr:col>
      <xdr:colOff>657953</xdr:colOff>
      <xdr:row>50</xdr:row>
      <xdr:rowOff>139700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D4EC0B5-3005-B30A-AFF4-F6D95B765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00" y="7715250"/>
          <a:ext cx="6074503" cy="2692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26</xdr:row>
      <xdr:rowOff>228600</xdr:rowOff>
    </xdr:from>
    <xdr:to>
      <xdr:col>3</xdr:col>
      <xdr:colOff>1346200</xdr:colOff>
      <xdr:row>34</xdr:row>
      <xdr:rowOff>127000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C742A77-3C2A-FA1D-E4A0-9D5AA3BBD1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9304" b="2979"/>
        <a:stretch/>
      </xdr:blipFill>
      <xdr:spPr>
        <a:xfrm>
          <a:off x="177800" y="7264400"/>
          <a:ext cx="4356100" cy="1930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28</xdr:row>
      <xdr:rowOff>444500</xdr:rowOff>
    </xdr:from>
    <xdr:to>
      <xdr:col>13</xdr:col>
      <xdr:colOff>304800</xdr:colOff>
      <xdr:row>35</xdr:row>
      <xdr:rowOff>406400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92DDE76-5702-14EF-DBA7-24AE91D73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7556500"/>
          <a:ext cx="6781800" cy="28575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254000</xdr:colOff>
      <xdr:row>35</xdr:row>
      <xdr:rowOff>167480</xdr:rowOff>
    </xdr:from>
    <xdr:to>
      <xdr:col>11</xdr:col>
      <xdr:colOff>571500</xdr:colOff>
      <xdr:row>42</xdr:row>
      <xdr:rowOff>190499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E1BECEB-B692-4DDC-4CA8-9D56257FD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30900" y="10505280"/>
          <a:ext cx="5080000" cy="2639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D3938-2FDB-B741-90F5-345F30419204}">
  <sheetPr>
    <tabColor rgb="FFFF0000"/>
  </sheetPr>
  <dimension ref="C1:K35"/>
  <sheetViews>
    <sheetView topLeftCell="A5" workbookViewId="0">
      <selection activeCell="E6" sqref="E6"/>
    </sheetView>
  </sheetViews>
  <sheetFormatPr baseColWidth="10" defaultColWidth="10.7109375" defaultRowHeight="20"/>
  <cols>
    <col min="1" max="2" width="1.5703125" customWidth="1"/>
    <col min="3" max="3" width="32.7109375" customWidth="1"/>
    <col min="4" max="4" width="34.140625" customWidth="1"/>
    <col min="5" max="5" width="13" customWidth="1"/>
    <col min="6" max="6" width="2.28515625" customWidth="1"/>
    <col min="7" max="7" width="12.5703125" customWidth="1"/>
    <col min="8" max="8" width="3.5703125" customWidth="1"/>
    <col min="9" max="9" width="8.28515625" customWidth="1"/>
    <col min="10" max="10" width="2.7109375" customWidth="1"/>
  </cols>
  <sheetData>
    <row r="1" spans="3:11" ht="13" customHeight="1"/>
    <row r="2" spans="3:11" ht="25" customHeight="1" thickBot="1">
      <c r="D2" s="2" t="s">
        <v>46</v>
      </c>
      <c r="E2" s="14" t="s">
        <v>48</v>
      </c>
    </row>
    <row r="3" spans="3:11" ht="21" thickBot="1">
      <c r="C3" s="2" t="s">
        <v>0</v>
      </c>
      <c r="D3" s="13"/>
      <c r="E3" s="32">
        <v>100</v>
      </c>
      <c r="F3" s="5"/>
    </row>
    <row r="4" spans="3:11" ht="21" thickBot="1">
      <c r="C4" s="2" t="s">
        <v>1</v>
      </c>
      <c r="D4" s="4"/>
      <c r="E4" s="16" t="s">
        <v>49</v>
      </c>
    </row>
    <row r="5" spans="3:11" ht="21" thickBot="1">
      <c r="C5" s="2" t="s">
        <v>50</v>
      </c>
      <c r="D5" s="13"/>
      <c r="E5" s="33">
        <v>150</v>
      </c>
      <c r="F5" s="24" t="s">
        <v>67</v>
      </c>
      <c r="G5" s="8">
        <f>E5/100</f>
        <v>1.5</v>
      </c>
    </row>
    <row r="6" spans="3:11" ht="21" thickBot="1">
      <c r="C6" s="2" t="s">
        <v>2</v>
      </c>
      <c r="D6" s="13"/>
      <c r="E6" s="27">
        <v>48.8</v>
      </c>
    </row>
    <row r="7" spans="3:11">
      <c r="C7" s="2" t="s">
        <v>3</v>
      </c>
      <c r="D7" s="2" t="s">
        <v>47</v>
      </c>
      <c r="E7" s="17">
        <f>E6/(G5*G5)</f>
        <v>21.688888888888886</v>
      </c>
      <c r="F7" s="6"/>
    </row>
    <row r="8" spans="3:11">
      <c r="C8" s="2" t="s">
        <v>4</v>
      </c>
      <c r="D8" s="2" t="s">
        <v>51</v>
      </c>
      <c r="E8" s="28">
        <f>(G5*G5)*22</f>
        <v>49.5</v>
      </c>
      <c r="F8" s="6"/>
    </row>
    <row r="9" spans="3:11">
      <c r="C9" s="2" t="s">
        <v>5</v>
      </c>
      <c r="D9" s="2" t="s">
        <v>83</v>
      </c>
      <c r="E9" s="29">
        <f>E8*30</f>
        <v>1485</v>
      </c>
      <c r="F9" s="30" t="s">
        <v>53</v>
      </c>
      <c r="G9" s="31">
        <f>E8*40</f>
        <v>1980</v>
      </c>
    </row>
    <row r="10" spans="3:11">
      <c r="C10" s="2" t="s">
        <v>66</v>
      </c>
      <c r="D10" s="2" t="s">
        <v>52</v>
      </c>
      <c r="E10" s="3">
        <f>E8*25</f>
        <v>1237.5</v>
      </c>
      <c r="F10" s="7" t="s">
        <v>53</v>
      </c>
      <c r="G10" s="18">
        <f>E8*30</f>
        <v>1485</v>
      </c>
    </row>
    <row r="11" spans="3:11" ht="45" customHeight="1">
      <c r="C11" s="2" t="s">
        <v>65</v>
      </c>
      <c r="D11" s="2" t="s">
        <v>70</v>
      </c>
      <c r="E11" s="3">
        <f>0.8*E8</f>
        <v>39.6</v>
      </c>
      <c r="F11" s="7" t="s">
        <v>53</v>
      </c>
      <c r="G11" s="23">
        <f>1*E8</f>
        <v>49.5</v>
      </c>
      <c r="H11" s="2" t="s">
        <v>67</v>
      </c>
      <c r="I11" s="3">
        <f>E11*4</f>
        <v>158.4</v>
      </c>
      <c r="J11" s="7" t="s">
        <v>53</v>
      </c>
      <c r="K11" s="18">
        <f>G11*4</f>
        <v>198</v>
      </c>
    </row>
    <row r="12" spans="3:11">
      <c r="C12" s="2" t="s">
        <v>84</v>
      </c>
      <c r="D12" s="2" t="s">
        <v>71</v>
      </c>
      <c r="E12" s="3">
        <f>I12/9</f>
        <v>27.5</v>
      </c>
      <c r="F12" s="7" t="s">
        <v>53</v>
      </c>
      <c r="G12" s="23">
        <f>K12/9</f>
        <v>66</v>
      </c>
      <c r="H12" s="2" t="s">
        <v>67</v>
      </c>
      <c r="I12" s="3">
        <f>E10*0.2</f>
        <v>247.5</v>
      </c>
      <c r="J12" s="7" t="s">
        <v>53</v>
      </c>
      <c r="K12" s="18">
        <f>G10*0.4</f>
        <v>594</v>
      </c>
    </row>
    <row r="13" spans="3:11">
      <c r="C13" s="2" t="s">
        <v>85</v>
      </c>
      <c r="D13" s="2" t="s">
        <v>79</v>
      </c>
      <c r="E13" s="3">
        <f>I13/4</f>
        <v>154.6875</v>
      </c>
      <c r="F13" s="7" t="s">
        <v>53</v>
      </c>
      <c r="G13" s="23">
        <f>K13/4</f>
        <v>222.75</v>
      </c>
      <c r="H13" s="2" t="s">
        <v>67</v>
      </c>
      <c r="I13" s="3">
        <f>E10*0.5</f>
        <v>618.75</v>
      </c>
      <c r="J13" s="7" t="s">
        <v>53</v>
      </c>
      <c r="K13" s="18">
        <f>G10*0.6</f>
        <v>891</v>
      </c>
    </row>
    <row r="14" spans="3:11">
      <c r="C14" s="2" t="s">
        <v>86</v>
      </c>
      <c r="D14" s="2" t="s">
        <v>78</v>
      </c>
      <c r="E14" s="3">
        <f>E10-I11</f>
        <v>1079.0999999999999</v>
      </c>
      <c r="F14" s="7" t="s">
        <v>53</v>
      </c>
      <c r="G14" s="18">
        <f>E10-K11</f>
        <v>1039.5</v>
      </c>
      <c r="H14" s="5"/>
      <c r="J14" s="9"/>
    </row>
    <row r="15" spans="3:11">
      <c r="C15" s="2" t="s">
        <v>82</v>
      </c>
      <c r="D15" s="2" t="s">
        <v>77</v>
      </c>
      <c r="E15" s="3">
        <f>E11/6.25</f>
        <v>6.3360000000000003</v>
      </c>
      <c r="F15" s="7" t="s">
        <v>53</v>
      </c>
      <c r="G15" s="25">
        <f>G11/6.25</f>
        <v>7.92</v>
      </c>
    </row>
    <row r="16" spans="3:11">
      <c r="C16" s="2" t="s">
        <v>87</v>
      </c>
      <c r="D16" s="2" t="s">
        <v>74</v>
      </c>
      <c r="E16" s="3">
        <f>E14/E15</f>
        <v>170.31249999999997</v>
      </c>
      <c r="F16" s="7" t="s">
        <v>53</v>
      </c>
      <c r="G16" s="3">
        <f>G14/G15</f>
        <v>131.25</v>
      </c>
    </row>
    <row r="30" spans="3:4">
      <c r="C30" s="54" t="s">
        <v>149</v>
      </c>
      <c r="D30" s="54"/>
    </row>
    <row r="31" spans="3:4">
      <c r="C31" s="54"/>
      <c r="D31" s="54"/>
    </row>
    <row r="32" spans="3:4">
      <c r="C32" s="54"/>
      <c r="D32" s="54"/>
    </row>
    <row r="33" spans="3:4">
      <c r="C33" s="54"/>
      <c r="D33" s="54"/>
    </row>
    <row r="34" spans="3:4">
      <c r="C34" s="54"/>
      <c r="D34" s="54"/>
    </row>
    <row r="35" spans="3:4">
      <c r="C35" s="54"/>
      <c r="D35" s="54"/>
    </row>
  </sheetData>
  <mergeCells count="1">
    <mergeCell ref="C30:D35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FCBBA-8B97-F149-B54D-A432F045A435}">
  <sheetPr>
    <tabColor rgb="FFFF0000"/>
  </sheetPr>
  <dimension ref="B6:O36"/>
  <sheetViews>
    <sheetView topLeftCell="A5" workbookViewId="0">
      <selection activeCell="F36" sqref="F36"/>
    </sheetView>
  </sheetViews>
  <sheetFormatPr baseColWidth="10" defaultColWidth="10.7109375" defaultRowHeight="20"/>
  <cols>
    <col min="2" max="2" width="30.85546875" customWidth="1"/>
  </cols>
  <sheetData>
    <row r="6" spans="2:15">
      <c r="B6" t="s">
        <v>144</v>
      </c>
    </row>
    <row r="7" spans="2:15">
      <c r="B7" s="1" t="s">
        <v>125</v>
      </c>
      <c r="C7" s="1" t="s">
        <v>128</v>
      </c>
      <c r="D7" s="1" t="s">
        <v>129</v>
      </c>
      <c r="E7" s="51" t="s">
        <v>139</v>
      </c>
      <c r="F7" s="51" t="s">
        <v>138</v>
      </c>
      <c r="G7" s="1" t="s">
        <v>124</v>
      </c>
      <c r="H7" s="1" t="s">
        <v>126</v>
      </c>
      <c r="I7" s="1" t="s">
        <v>127</v>
      </c>
      <c r="J7" s="1" t="s">
        <v>130</v>
      </c>
      <c r="K7" s="1" t="s">
        <v>131</v>
      </c>
      <c r="L7" s="1" t="s">
        <v>132</v>
      </c>
      <c r="M7" s="1" t="s">
        <v>136</v>
      </c>
      <c r="N7" s="1" t="s">
        <v>134</v>
      </c>
    </row>
    <row r="8" spans="2:15">
      <c r="B8" s="51" t="s">
        <v>143</v>
      </c>
      <c r="C8" s="51">
        <v>2320</v>
      </c>
      <c r="D8" s="51">
        <v>500</v>
      </c>
      <c r="E8" s="51">
        <v>80</v>
      </c>
      <c r="F8" s="51">
        <v>0</v>
      </c>
      <c r="G8" s="51">
        <v>60</v>
      </c>
      <c r="H8" s="51">
        <v>100</v>
      </c>
      <c r="I8" s="51">
        <v>98</v>
      </c>
      <c r="J8" s="51">
        <v>20</v>
      </c>
      <c r="K8" s="51">
        <v>17</v>
      </c>
      <c r="L8" s="51">
        <v>40</v>
      </c>
      <c r="M8" s="51">
        <v>500</v>
      </c>
      <c r="N8" s="51">
        <v>2206</v>
      </c>
      <c r="O8" s="53"/>
    </row>
    <row r="9" spans="2:15">
      <c r="B9" s="1" t="s">
        <v>123</v>
      </c>
      <c r="C9" s="1"/>
      <c r="D9" s="1"/>
      <c r="E9" s="1"/>
      <c r="F9" s="1"/>
      <c r="G9" s="1"/>
      <c r="H9" s="1"/>
      <c r="I9" s="1"/>
      <c r="J9" s="1"/>
      <c r="K9" s="1"/>
      <c r="L9" s="1">
        <v>120</v>
      </c>
      <c r="M9" s="1"/>
      <c r="N9" s="1">
        <v>4</v>
      </c>
    </row>
    <row r="10" spans="2:15">
      <c r="B10" s="1" t="s">
        <v>121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2:15">
      <c r="B11" s="1" t="s">
        <v>122</v>
      </c>
      <c r="C11" s="1"/>
      <c r="D11" s="1"/>
      <c r="E11" s="1"/>
      <c r="F11" s="1"/>
      <c r="G11" s="1">
        <v>20</v>
      </c>
      <c r="H11" s="1"/>
      <c r="I11" s="1"/>
      <c r="J11" s="1"/>
      <c r="K11" s="1"/>
      <c r="L11" s="1"/>
      <c r="M11" s="1"/>
      <c r="N11" s="1"/>
    </row>
    <row r="12" spans="2:15">
      <c r="B12" s="51" t="s">
        <v>137</v>
      </c>
      <c r="C12" s="51">
        <v>400</v>
      </c>
      <c r="D12" s="51"/>
      <c r="E12" s="51"/>
      <c r="F12" s="51">
        <v>40</v>
      </c>
      <c r="G12" s="51"/>
      <c r="H12" s="51"/>
      <c r="I12" s="51"/>
      <c r="J12" s="51"/>
      <c r="K12" s="51"/>
      <c r="L12" s="51"/>
      <c r="M12" s="51"/>
      <c r="N12" s="51">
        <v>100</v>
      </c>
    </row>
    <row r="13" spans="2:15">
      <c r="B13" s="2" t="s">
        <v>133</v>
      </c>
      <c r="C13" s="1">
        <f>SUM(C8:C11)</f>
        <v>2320</v>
      </c>
      <c r="D13" s="1">
        <f>SUM(D8:D11)</f>
        <v>500</v>
      </c>
      <c r="E13" s="1">
        <f>SUM(E8:E11)</f>
        <v>80</v>
      </c>
      <c r="F13" s="1"/>
      <c r="G13" s="1">
        <f>SUM(G8:G11)</f>
        <v>80</v>
      </c>
      <c r="H13" s="1">
        <f t="shared" ref="H13" si="0">SUM(H8:H12)</f>
        <v>100</v>
      </c>
      <c r="I13" s="1">
        <f t="shared" ref="I13" si="1">SUM(I8:I12)</f>
        <v>98</v>
      </c>
      <c r="J13" s="1">
        <f t="shared" ref="J13:K13" si="2">SUM(J8:J12)</f>
        <v>20</v>
      </c>
      <c r="K13" s="1">
        <f t="shared" si="2"/>
        <v>17</v>
      </c>
      <c r="L13" s="1">
        <f t="shared" ref="L13:M13" si="3">SUM(L8:L12)</f>
        <v>160</v>
      </c>
      <c r="M13" s="1">
        <f t="shared" si="3"/>
        <v>500</v>
      </c>
      <c r="N13" s="1">
        <f>SUM(N8:N12)</f>
        <v>2310</v>
      </c>
    </row>
    <row r="18" spans="2:14">
      <c r="B18" t="s">
        <v>145</v>
      </c>
    </row>
    <row r="19" spans="2:14">
      <c r="B19" s="51" t="s">
        <v>125</v>
      </c>
      <c r="C19" s="51" t="s">
        <v>128</v>
      </c>
      <c r="D19" s="51" t="s">
        <v>129</v>
      </c>
      <c r="E19" s="51" t="s">
        <v>139</v>
      </c>
      <c r="F19" s="51" t="s">
        <v>138</v>
      </c>
      <c r="G19" s="51" t="s">
        <v>124</v>
      </c>
      <c r="H19" s="51" t="s">
        <v>126</v>
      </c>
      <c r="I19" s="51" t="s">
        <v>127</v>
      </c>
      <c r="J19" s="51" t="s">
        <v>130</v>
      </c>
      <c r="K19" s="51" t="s">
        <v>131</v>
      </c>
      <c r="L19" s="51" t="s">
        <v>132</v>
      </c>
      <c r="M19" s="51" t="s">
        <v>136</v>
      </c>
      <c r="N19" s="51" t="s">
        <v>134</v>
      </c>
    </row>
    <row r="20" spans="2:14">
      <c r="B20" s="51" t="s">
        <v>140</v>
      </c>
      <c r="C20" s="51">
        <v>1160</v>
      </c>
      <c r="D20" s="51">
        <v>250</v>
      </c>
      <c r="E20" s="51">
        <v>40</v>
      </c>
      <c r="F20" s="51">
        <v>0</v>
      </c>
      <c r="G20" s="51">
        <v>30</v>
      </c>
      <c r="H20" s="51">
        <v>50</v>
      </c>
      <c r="I20" s="51">
        <v>49</v>
      </c>
      <c r="J20" s="51">
        <v>10</v>
      </c>
      <c r="K20" s="51">
        <v>8.5</v>
      </c>
      <c r="L20" s="51">
        <v>20</v>
      </c>
      <c r="M20" s="51">
        <v>250</v>
      </c>
      <c r="N20" s="51">
        <v>1103</v>
      </c>
    </row>
    <row r="21" spans="2:14">
      <c r="B21" s="51" t="s">
        <v>141</v>
      </c>
      <c r="C21" s="51"/>
      <c r="D21" s="51"/>
      <c r="E21" s="51"/>
      <c r="F21" s="51"/>
      <c r="G21" s="51"/>
      <c r="H21" s="51"/>
      <c r="I21" s="51"/>
      <c r="J21" s="51"/>
      <c r="K21" s="51"/>
      <c r="L21" s="51">
        <v>60</v>
      </c>
      <c r="M21" s="51"/>
      <c r="N21" s="51">
        <v>2</v>
      </c>
    </row>
    <row r="22" spans="2:14">
      <c r="B22" s="51" t="s">
        <v>142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</row>
    <row r="23" spans="2:14">
      <c r="B23" s="51" t="s">
        <v>137</v>
      </c>
      <c r="C23" s="51">
        <v>400</v>
      </c>
      <c r="D23" s="51"/>
      <c r="E23" s="51"/>
      <c r="F23" s="51">
        <v>40</v>
      </c>
      <c r="G23" s="51"/>
      <c r="H23" s="51"/>
      <c r="I23" s="51"/>
      <c r="J23" s="51"/>
      <c r="K23" s="51"/>
      <c r="L23" s="51"/>
      <c r="M23" s="51"/>
      <c r="N23" s="51">
        <v>100</v>
      </c>
    </row>
    <row r="24" spans="2:14">
      <c r="B24" s="52" t="s">
        <v>133</v>
      </c>
      <c r="C24" s="51">
        <f>SUM(C20:C23)</f>
        <v>1560</v>
      </c>
      <c r="D24" s="51">
        <f>SUM(D20:D23)</f>
        <v>250</v>
      </c>
      <c r="E24" s="51">
        <v>40</v>
      </c>
      <c r="F24" s="51">
        <v>40</v>
      </c>
      <c r="G24" s="51">
        <f t="shared" ref="G24:N24" si="4">SUM(G20:G23)</f>
        <v>30</v>
      </c>
      <c r="H24" s="51">
        <f t="shared" si="4"/>
        <v>50</v>
      </c>
      <c r="I24" s="51">
        <f t="shared" si="4"/>
        <v>49</v>
      </c>
      <c r="J24" s="51">
        <f t="shared" si="4"/>
        <v>10</v>
      </c>
      <c r="K24" s="51">
        <f t="shared" si="4"/>
        <v>8.5</v>
      </c>
      <c r="L24" s="51">
        <f t="shared" si="4"/>
        <v>80</v>
      </c>
      <c r="M24" s="51">
        <f t="shared" si="4"/>
        <v>250</v>
      </c>
      <c r="N24" s="51">
        <f t="shared" si="4"/>
        <v>1205</v>
      </c>
    </row>
    <row r="26" spans="2:14">
      <c r="B26" t="s">
        <v>146</v>
      </c>
    </row>
    <row r="27" spans="2:14">
      <c r="B27" s="51" t="s">
        <v>147</v>
      </c>
      <c r="C27" s="51" t="s">
        <v>128</v>
      </c>
      <c r="D27" s="51" t="s">
        <v>129</v>
      </c>
      <c r="E27" s="51" t="s">
        <v>139</v>
      </c>
      <c r="F27" s="51" t="s">
        <v>138</v>
      </c>
      <c r="G27" s="51" t="s">
        <v>124</v>
      </c>
      <c r="H27" s="51" t="s">
        <v>126</v>
      </c>
      <c r="I27" s="51" t="s">
        <v>127</v>
      </c>
      <c r="J27" s="51" t="s">
        <v>130</v>
      </c>
      <c r="K27" s="51" t="s">
        <v>131</v>
      </c>
      <c r="L27" s="51" t="s">
        <v>132</v>
      </c>
      <c r="M27" s="51" t="s">
        <v>136</v>
      </c>
      <c r="N27" s="51" t="s">
        <v>134</v>
      </c>
    </row>
    <row r="28" spans="2:14">
      <c r="B28" s="51" t="s">
        <v>140</v>
      </c>
      <c r="C28" s="51">
        <v>1160</v>
      </c>
      <c r="D28" s="51">
        <v>250</v>
      </c>
      <c r="E28" s="51">
        <v>40</v>
      </c>
      <c r="F28" s="51">
        <v>0</v>
      </c>
      <c r="G28" s="51">
        <v>30</v>
      </c>
      <c r="H28" s="51">
        <v>50</v>
      </c>
      <c r="I28" s="51">
        <v>49</v>
      </c>
      <c r="J28" s="51">
        <v>10</v>
      </c>
      <c r="K28" s="51">
        <v>8.5</v>
      </c>
      <c r="L28" s="51">
        <v>20</v>
      </c>
      <c r="M28" s="51">
        <v>250</v>
      </c>
      <c r="N28" s="51">
        <v>1103</v>
      </c>
    </row>
    <row r="29" spans="2:14">
      <c r="B29" s="51" t="s">
        <v>141</v>
      </c>
      <c r="C29" s="51"/>
      <c r="D29" s="51"/>
      <c r="E29" s="51"/>
      <c r="F29" s="51"/>
      <c r="G29" s="51"/>
      <c r="H29" s="51"/>
      <c r="I29" s="51"/>
      <c r="J29" s="51"/>
      <c r="K29" s="51"/>
      <c r="L29" s="51">
        <v>60</v>
      </c>
      <c r="M29" s="51"/>
      <c r="N29" s="51">
        <v>2</v>
      </c>
    </row>
    <row r="30" spans="2:14">
      <c r="B30" s="51" t="s">
        <v>142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</row>
    <row r="31" spans="2:14">
      <c r="B31" s="51"/>
      <c r="C31" s="51"/>
      <c r="D31" s="51"/>
      <c r="E31" s="51"/>
      <c r="F31" s="51"/>
      <c r="G31" s="51">
        <v>20</v>
      </c>
      <c r="H31" s="51"/>
      <c r="I31" s="51"/>
      <c r="J31" s="51"/>
      <c r="K31" s="51"/>
      <c r="L31" s="51"/>
      <c r="M31" s="51"/>
      <c r="N31" s="51"/>
    </row>
    <row r="32" spans="2:14">
      <c r="B32" s="52" t="s">
        <v>133</v>
      </c>
      <c r="C32" s="51">
        <f>SUM(C28:C31)</f>
        <v>1160</v>
      </c>
      <c r="D32" s="51">
        <f>SUM(D28:D31)</f>
        <v>250</v>
      </c>
      <c r="E32" s="51">
        <v>40</v>
      </c>
      <c r="F32" s="51">
        <v>40</v>
      </c>
      <c r="G32" s="51">
        <f t="shared" ref="G32:N32" si="5">SUM(G28:G31)</f>
        <v>50</v>
      </c>
      <c r="H32" s="51">
        <f t="shared" si="5"/>
        <v>50</v>
      </c>
      <c r="I32" s="51">
        <f t="shared" si="5"/>
        <v>49</v>
      </c>
      <c r="J32" s="51">
        <f t="shared" si="5"/>
        <v>10</v>
      </c>
      <c r="K32" s="51">
        <f t="shared" si="5"/>
        <v>8.5</v>
      </c>
      <c r="L32" s="51">
        <f t="shared" si="5"/>
        <v>80</v>
      </c>
      <c r="M32" s="51">
        <f t="shared" si="5"/>
        <v>250</v>
      </c>
      <c r="N32" s="51">
        <f t="shared" si="5"/>
        <v>1105</v>
      </c>
    </row>
    <row r="36" spans="6:6">
      <c r="F36" t="s">
        <v>148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ED8D7-8F85-5A45-9666-4B4CBE43C168}">
  <sheetPr>
    <tabColor rgb="FFFF0000"/>
  </sheetPr>
  <dimension ref="C1:K26"/>
  <sheetViews>
    <sheetView topLeftCell="B1" workbookViewId="0">
      <selection activeCell="L17" sqref="L17"/>
    </sheetView>
  </sheetViews>
  <sheetFormatPr baseColWidth="10" defaultColWidth="10.7109375" defaultRowHeight="20"/>
  <cols>
    <col min="1" max="2" width="1.5703125" customWidth="1"/>
    <col min="3" max="3" width="32.7109375" customWidth="1"/>
    <col min="4" max="4" width="34.140625" customWidth="1"/>
    <col min="5" max="5" width="13" customWidth="1"/>
    <col min="6" max="6" width="2.28515625" customWidth="1"/>
    <col min="7" max="7" width="12.5703125" customWidth="1"/>
    <col min="8" max="8" width="3.5703125" customWidth="1"/>
    <col min="9" max="9" width="8.28515625" customWidth="1"/>
    <col min="10" max="10" width="2.7109375" customWidth="1"/>
  </cols>
  <sheetData>
    <row r="1" spans="3:8" ht="13" customHeight="1"/>
    <row r="2" spans="3:8" ht="25" customHeight="1" thickBot="1">
      <c r="D2" s="2" t="s">
        <v>46</v>
      </c>
      <c r="E2" s="14" t="s">
        <v>48</v>
      </c>
    </row>
    <row r="3" spans="3:8" ht="21" thickBot="1">
      <c r="C3" s="2" t="s">
        <v>0</v>
      </c>
      <c r="D3" s="13"/>
      <c r="E3" s="32">
        <v>88</v>
      </c>
      <c r="F3" s="5"/>
    </row>
    <row r="4" spans="3:8" ht="21" thickBot="1">
      <c r="C4" s="2" t="s">
        <v>1</v>
      </c>
      <c r="D4" s="4"/>
      <c r="E4" s="16" t="s">
        <v>135</v>
      </c>
    </row>
    <row r="5" spans="3:8" ht="21" thickBot="1">
      <c r="C5" s="2" t="s">
        <v>50</v>
      </c>
      <c r="D5" s="13"/>
      <c r="E5" s="33">
        <v>149</v>
      </c>
      <c r="F5" s="24" t="s">
        <v>67</v>
      </c>
      <c r="G5" s="8">
        <f>E5/100</f>
        <v>1.49</v>
      </c>
    </row>
    <row r="6" spans="3:8" ht="21" thickBot="1">
      <c r="C6" s="2" t="s">
        <v>2</v>
      </c>
      <c r="D6" s="13"/>
      <c r="E6" s="27">
        <v>34.1</v>
      </c>
    </row>
    <row r="7" spans="3:8">
      <c r="C7" s="2" t="s">
        <v>3</v>
      </c>
      <c r="D7" s="2" t="s">
        <v>47</v>
      </c>
      <c r="E7" s="17">
        <f>E6/(G5*G5)</f>
        <v>15.359668483401649</v>
      </c>
      <c r="F7" s="6"/>
    </row>
    <row r="8" spans="3:8">
      <c r="C8" s="2" t="s">
        <v>4</v>
      </c>
      <c r="D8" s="2" t="s">
        <v>51</v>
      </c>
      <c r="E8" s="28">
        <f>(G5*G5)*22</f>
        <v>48.842199999999998</v>
      </c>
      <c r="F8" s="6"/>
    </row>
    <row r="9" spans="3:8">
      <c r="C9" s="2" t="s">
        <v>5</v>
      </c>
      <c r="D9" s="2" t="s">
        <v>83</v>
      </c>
      <c r="E9" s="29">
        <f>E8*30</f>
        <v>1465.2659999999998</v>
      </c>
      <c r="F9" s="30" t="s">
        <v>53</v>
      </c>
      <c r="G9" s="31">
        <f>E8*40</f>
        <v>1953.6879999999999</v>
      </c>
    </row>
    <row r="10" spans="3:8">
      <c r="C10" s="2" t="s">
        <v>66</v>
      </c>
      <c r="D10" s="2" t="s">
        <v>52</v>
      </c>
      <c r="E10" s="3">
        <f>E8*25</f>
        <v>1221.0550000000001</v>
      </c>
      <c r="F10" s="7" t="s">
        <v>53</v>
      </c>
      <c r="G10" s="18">
        <f>E8*30</f>
        <v>1465.2659999999998</v>
      </c>
    </row>
    <row r="11" spans="3:8" ht="45" customHeight="1">
      <c r="C11" s="2" t="s">
        <v>56</v>
      </c>
      <c r="D11" s="10" t="s">
        <v>54</v>
      </c>
      <c r="E11" s="3">
        <f>66.47+(13.75*E6)+(5*E5)-(6.76*E3)</f>
        <v>685.46500000000003</v>
      </c>
      <c r="F11" s="9"/>
      <c r="G11" s="6"/>
    </row>
    <row r="12" spans="3:8" ht="43" thickBot="1">
      <c r="C12" s="2" t="s">
        <v>57</v>
      </c>
      <c r="D12" s="10" t="s">
        <v>55</v>
      </c>
      <c r="E12" s="20">
        <f>655.1+(9.56*E6)+(1.85*E5)-(4.68*E3)</f>
        <v>844.90600000000018</v>
      </c>
    </row>
    <row r="13" spans="3:8" ht="22" thickBot="1">
      <c r="C13" s="2" t="s">
        <v>58</v>
      </c>
      <c r="D13" s="19" t="s">
        <v>59</v>
      </c>
      <c r="E13" s="15">
        <v>1.4</v>
      </c>
    </row>
    <row r="14" spans="3:8" ht="22" thickBot="1">
      <c r="C14" s="2" t="s">
        <v>60</v>
      </c>
      <c r="D14" s="19" t="s">
        <v>61</v>
      </c>
      <c r="E14" s="22">
        <v>1.3</v>
      </c>
    </row>
    <row r="15" spans="3:8">
      <c r="C15" s="2" t="s">
        <v>63</v>
      </c>
      <c r="D15" s="2" t="s">
        <v>62</v>
      </c>
      <c r="E15" s="21">
        <f>E11*E13*E14</f>
        <v>1247.5463</v>
      </c>
    </row>
    <row r="16" spans="3:8">
      <c r="C16" s="2" t="s">
        <v>64</v>
      </c>
      <c r="D16" s="2" t="s">
        <v>62</v>
      </c>
      <c r="E16" s="12">
        <f>E12*E13*E14</f>
        <v>1537.7289200000002</v>
      </c>
      <c r="H16" s="5"/>
    </row>
    <row r="17" spans="3:11">
      <c r="C17" s="2" t="s">
        <v>65</v>
      </c>
      <c r="D17" s="2" t="s">
        <v>70</v>
      </c>
      <c r="E17" s="3">
        <f>0.8*E8</f>
        <v>39.07376</v>
      </c>
      <c r="F17" s="7" t="s">
        <v>53</v>
      </c>
      <c r="G17" s="23">
        <f>1*E8</f>
        <v>48.842199999999998</v>
      </c>
      <c r="H17" s="2" t="s">
        <v>67</v>
      </c>
      <c r="I17" s="3">
        <f>E17*4</f>
        <v>156.29504</v>
      </c>
      <c r="J17" s="7" t="s">
        <v>53</v>
      </c>
      <c r="K17" s="18">
        <f>G17*4</f>
        <v>195.36879999999999</v>
      </c>
    </row>
    <row r="18" spans="3:11">
      <c r="C18" s="2" t="s">
        <v>68</v>
      </c>
      <c r="D18" s="2" t="s">
        <v>71</v>
      </c>
      <c r="E18" s="3">
        <f>I18/9</f>
        <v>27.723251111111111</v>
      </c>
      <c r="F18" s="7" t="s">
        <v>53</v>
      </c>
      <c r="G18" s="23">
        <f>K18/9</f>
        <v>55.446502222222222</v>
      </c>
      <c r="H18" s="2" t="s">
        <v>67</v>
      </c>
      <c r="I18" s="3">
        <f>E15*0.2</f>
        <v>249.50926000000001</v>
      </c>
      <c r="J18" s="7" t="s">
        <v>53</v>
      </c>
      <c r="K18" s="18">
        <f>E15*0.4</f>
        <v>499.01852000000002</v>
      </c>
    </row>
    <row r="19" spans="3:11">
      <c r="C19" s="2" t="s">
        <v>69</v>
      </c>
      <c r="D19" s="2" t="s">
        <v>71</v>
      </c>
      <c r="E19" s="3">
        <f>I19/9</f>
        <v>34.171753777777788</v>
      </c>
      <c r="F19" s="7" t="s">
        <v>53</v>
      </c>
      <c r="G19" s="23">
        <f>K19/9</f>
        <v>68.343507555555576</v>
      </c>
      <c r="H19" s="2" t="s">
        <v>67</v>
      </c>
      <c r="I19" s="3">
        <f>E16*0.2</f>
        <v>307.54578400000008</v>
      </c>
      <c r="J19" s="7" t="s">
        <v>53</v>
      </c>
      <c r="K19" s="18">
        <f>E16*0.4</f>
        <v>615.09156800000017</v>
      </c>
    </row>
    <row r="20" spans="3:11">
      <c r="C20" s="2" t="s">
        <v>72</v>
      </c>
      <c r="D20" s="2" t="s">
        <v>79</v>
      </c>
      <c r="E20" s="3">
        <f>I20/4</f>
        <v>155.9432875</v>
      </c>
      <c r="F20" s="7" t="s">
        <v>53</v>
      </c>
      <c r="G20" s="23">
        <f>K20/4</f>
        <v>187.131945</v>
      </c>
      <c r="H20" s="2" t="s">
        <v>67</v>
      </c>
      <c r="I20" s="3">
        <f>E15*0.5</f>
        <v>623.77314999999999</v>
      </c>
      <c r="J20" s="7" t="s">
        <v>53</v>
      </c>
      <c r="K20" s="18">
        <f>E15*0.6</f>
        <v>748.52778000000001</v>
      </c>
    </row>
    <row r="21" spans="3:11">
      <c r="C21" s="2" t="s">
        <v>73</v>
      </c>
      <c r="D21" s="2" t="s">
        <v>79</v>
      </c>
      <c r="E21" s="3">
        <f>I21/4</f>
        <v>192.21611500000003</v>
      </c>
      <c r="F21" s="7" t="s">
        <v>53</v>
      </c>
      <c r="G21" s="23">
        <f>K21/4</f>
        <v>230.65933800000002</v>
      </c>
      <c r="H21" s="2" t="s">
        <v>67</v>
      </c>
      <c r="I21" s="3">
        <f>E16*0.5</f>
        <v>768.86446000000012</v>
      </c>
      <c r="J21" s="7" t="s">
        <v>53</v>
      </c>
      <c r="K21" s="18">
        <f>E16*0.6</f>
        <v>922.63735200000008</v>
      </c>
    </row>
    <row r="22" spans="3:11">
      <c r="C22" s="2" t="s">
        <v>75</v>
      </c>
      <c r="D22" s="2" t="s">
        <v>78</v>
      </c>
      <c r="E22" s="3">
        <f>E15-I17</f>
        <v>1091.25126</v>
      </c>
      <c r="F22" s="7" t="s">
        <v>53</v>
      </c>
      <c r="G22" s="18">
        <f>E15-K17</f>
        <v>1052.1775</v>
      </c>
      <c r="H22" s="5"/>
      <c r="J22" s="9"/>
    </row>
    <row r="23" spans="3:11">
      <c r="C23" s="2" t="s">
        <v>76</v>
      </c>
      <c r="D23" s="2" t="s">
        <v>78</v>
      </c>
      <c r="E23" s="3">
        <f>E16-I17</f>
        <v>1381.4338800000003</v>
      </c>
      <c r="F23" s="7" t="s">
        <v>53</v>
      </c>
      <c r="G23" s="18">
        <f>E16-K17</f>
        <v>1342.3601200000003</v>
      </c>
    </row>
    <row r="24" spans="3:11">
      <c r="C24" s="2" t="s">
        <v>82</v>
      </c>
      <c r="D24" s="2" t="s">
        <v>77</v>
      </c>
      <c r="E24" s="3">
        <f>E17/6.25</f>
        <v>6.2518016000000003</v>
      </c>
      <c r="F24" s="7" t="s">
        <v>53</v>
      </c>
      <c r="G24" s="25">
        <f>G17/6.25</f>
        <v>7.8147519999999995</v>
      </c>
    </row>
    <row r="25" spans="3:11">
      <c r="C25" s="2" t="s">
        <v>80</v>
      </c>
      <c r="D25" s="2" t="s">
        <v>74</v>
      </c>
      <c r="E25" s="3">
        <f>E22/E24</f>
        <v>174.54988654790324</v>
      </c>
      <c r="F25" s="7" t="s">
        <v>53</v>
      </c>
      <c r="G25" s="3">
        <f>G22/G24</f>
        <v>134.63990923832262</v>
      </c>
    </row>
    <row r="26" spans="3:11">
      <c r="C26" s="2" t="s">
        <v>81</v>
      </c>
      <c r="D26" s="2" t="s">
        <v>74</v>
      </c>
      <c r="E26" s="11">
        <f>E23/E24</f>
        <v>220.96572610365629</v>
      </c>
      <c r="F26" s="26" t="s">
        <v>53</v>
      </c>
      <c r="G26" s="11">
        <f>G23/G24</f>
        <v>171.77258088292507</v>
      </c>
    </row>
  </sheetData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3F499-DCC2-EE48-8F44-064B54B2C81D}">
  <sheetPr>
    <tabColor rgb="FFFFFF00"/>
  </sheetPr>
  <dimension ref="B3:F37"/>
  <sheetViews>
    <sheetView tabSelected="1" topLeftCell="A4" workbookViewId="0">
      <selection activeCell="H19" sqref="H19"/>
    </sheetView>
  </sheetViews>
  <sheetFormatPr baseColWidth="10" defaultColWidth="10.7109375" defaultRowHeight="20"/>
  <cols>
    <col min="1" max="1" width="5" customWidth="1"/>
    <col min="3" max="3" width="16" customWidth="1"/>
    <col min="4" max="4" width="11.42578125" bestFit="1" customWidth="1"/>
  </cols>
  <sheetData>
    <row r="3" spans="2:6">
      <c r="D3" s="2"/>
      <c r="E3" s="2"/>
      <c r="F3" s="2" t="s">
        <v>44</v>
      </c>
    </row>
    <row r="4" spans="2:6">
      <c r="B4" s="2" t="s">
        <v>6</v>
      </c>
      <c r="C4" s="2" t="s">
        <v>25</v>
      </c>
      <c r="D4" s="50">
        <v>44932</v>
      </c>
      <c r="E4" s="50">
        <v>44929</v>
      </c>
      <c r="F4" s="2" t="s">
        <v>45</v>
      </c>
    </row>
    <row r="5" spans="2:6">
      <c r="B5" s="2" t="s">
        <v>7</v>
      </c>
      <c r="C5" s="2" t="s">
        <v>26</v>
      </c>
      <c r="D5" s="1">
        <v>9400</v>
      </c>
      <c r="E5" s="1">
        <v>6600</v>
      </c>
      <c r="F5" s="1"/>
    </row>
    <row r="6" spans="2:6">
      <c r="B6" s="2" t="s">
        <v>8</v>
      </c>
      <c r="C6" s="2" t="s">
        <v>27</v>
      </c>
      <c r="D6" s="1">
        <v>335</v>
      </c>
      <c r="E6" s="1">
        <v>381</v>
      </c>
      <c r="F6" s="1"/>
    </row>
    <row r="7" spans="2:6">
      <c r="B7" s="2" t="s">
        <v>9</v>
      </c>
      <c r="C7" s="2" t="s">
        <v>28</v>
      </c>
      <c r="D7" s="1">
        <v>10</v>
      </c>
      <c r="E7" s="1">
        <v>12.5</v>
      </c>
      <c r="F7" s="1"/>
    </row>
    <row r="8" spans="2:6">
      <c r="B8" s="2" t="s">
        <v>10</v>
      </c>
      <c r="C8" s="2" t="s">
        <v>29</v>
      </c>
      <c r="D8" s="1">
        <v>32.200000000000003</v>
      </c>
      <c r="E8" s="1">
        <v>37.200000000000003</v>
      </c>
      <c r="F8" s="1"/>
    </row>
    <row r="9" spans="2:6">
      <c r="B9" s="2" t="s">
        <v>11</v>
      </c>
      <c r="C9" s="2" t="s">
        <v>30</v>
      </c>
      <c r="D9" s="1">
        <v>90</v>
      </c>
      <c r="E9" s="1">
        <v>119</v>
      </c>
      <c r="F9" s="1"/>
    </row>
    <row r="10" spans="2:6">
      <c r="B10" s="2" t="s">
        <v>12</v>
      </c>
      <c r="C10" s="2" t="s">
        <v>31</v>
      </c>
      <c r="D10" s="1">
        <v>143</v>
      </c>
      <c r="E10" s="1">
        <v>135</v>
      </c>
      <c r="F10" s="1"/>
    </row>
    <row r="11" spans="2:6">
      <c r="B11" s="2" t="s">
        <v>13</v>
      </c>
      <c r="C11" s="2" t="s">
        <v>32</v>
      </c>
      <c r="D11" s="1">
        <v>3.8</v>
      </c>
      <c r="E11" s="1">
        <v>4.0999999999999996</v>
      </c>
      <c r="F11" s="1"/>
    </row>
    <row r="12" spans="2:6">
      <c r="B12" s="2" t="s">
        <v>14</v>
      </c>
      <c r="C12" s="2" t="s">
        <v>33</v>
      </c>
      <c r="D12" s="1">
        <v>109</v>
      </c>
      <c r="E12" s="1"/>
      <c r="F12" s="1"/>
    </row>
    <row r="13" spans="2:6">
      <c r="B13" s="2" t="s">
        <v>15</v>
      </c>
      <c r="C13" s="2" t="s">
        <v>34</v>
      </c>
      <c r="D13" s="1">
        <v>8.1</v>
      </c>
      <c r="E13" s="1"/>
      <c r="F13" s="1"/>
    </row>
    <row r="14" spans="2:6">
      <c r="B14" s="2" t="s">
        <v>16</v>
      </c>
      <c r="C14" s="2" t="s">
        <v>35</v>
      </c>
      <c r="D14" s="1"/>
      <c r="E14" s="1"/>
      <c r="F14" s="1"/>
    </row>
    <row r="15" spans="2:6">
      <c r="B15" s="2" t="s">
        <v>17</v>
      </c>
      <c r="C15" s="2" t="s">
        <v>36</v>
      </c>
      <c r="D15" s="1">
        <v>214</v>
      </c>
      <c r="E15" s="1"/>
      <c r="F15" s="1"/>
    </row>
    <row r="16" spans="2:6">
      <c r="B16" s="2" t="s">
        <v>18</v>
      </c>
      <c r="C16" s="2" t="s">
        <v>37</v>
      </c>
      <c r="D16" s="1">
        <v>4.7</v>
      </c>
      <c r="E16" s="1"/>
      <c r="F16" s="1"/>
    </row>
    <row r="17" spans="2:6">
      <c r="B17" s="2" t="s">
        <v>19</v>
      </c>
      <c r="C17" s="2" t="s">
        <v>38</v>
      </c>
      <c r="D17" s="1">
        <v>1.9</v>
      </c>
      <c r="E17" s="1"/>
      <c r="F17" s="1"/>
    </row>
    <row r="18" spans="2:6">
      <c r="B18" s="2" t="s">
        <v>20</v>
      </c>
      <c r="C18" s="2" t="s">
        <v>39</v>
      </c>
      <c r="D18" s="1">
        <v>17.2</v>
      </c>
      <c r="E18" s="1">
        <v>29.7</v>
      </c>
      <c r="F18" s="1"/>
    </row>
    <row r="19" spans="2:6">
      <c r="B19" s="2" t="s">
        <v>21</v>
      </c>
      <c r="C19" s="2" t="s">
        <v>40</v>
      </c>
      <c r="D19" s="1">
        <v>0.62</v>
      </c>
      <c r="E19" s="1">
        <v>1.19</v>
      </c>
      <c r="F19" s="1"/>
    </row>
    <row r="20" spans="2:6">
      <c r="B20" s="2" t="s">
        <v>22</v>
      </c>
      <c r="C20" s="2" t="s">
        <v>41</v>
      </c>
      <c r="D20" s="1">
        <v>65.900000000000006</v>
      </c>
      <c r="E20" s="1"/>
      <c r="F20" s="1"/>
    </row>
    <row r="21" spans="2:6">
      <c r="B21" s="2" t="s">
        <v>23</v>
      </c>
      <c r="C21" s="2" t="s">
        <v>42</v>
      </c>
      <c r="D21" s="1">
        <v>264</v>
      </c>
      <c r="E21" s="1"/>
      <c r="F21" s="1"/>
    </row>
    <row r="22" spans="2:6">
      <c r="B22" s="2" t="s">
        <v>24</v>
      </c>
      <c r="C22" s="2" t="s">
        <v>43</v>
      </c>
      <c r="D22" s="1">
        <v>3.04</v>
      </c>
      <c r="E22" s="1">
        <v>0.78</v>
      </c>
      <c r="F22" s="1"/>
    </row>
    <row r="23" spans="2:6">
      <c r="B23" s="2" t="s">
        <v>96</v>
      </c>
      <c r="C23" s="2" t="s">
        <v>97</v>
      </c>
      <c r="D23" s="1"/>
      <c r="E23" s="1"/>
      <c r="F23" s="1"/>
    </row>
    <row r="24" spans="2:6" ht="14" customHeight="1"/>
    <row r="25" spans="2:6" ht="14" customHeight="1">
      <c r="D25" t="s">
        <v>99</v>
      </c>
    </row>
    <row r="26" spans="2:6" ht="14" customHeight="1"/>
    <row r="27" spans="2:6" ht="14" customHeight="1"/>
    <row r="28" spans="2:6">
      <c r="B28" s="57" t="s">
        <v>91</v>
      </c>
      <c r="C28" s="57"/>
      <c r="D28" s="2" t="s">
        <v>90</v>
      </c>
      <c r="E28" s="56" t="s">
        <v>89</v>
      </c>
      <c r="F28" s="56"/>
    </row>
    <row r="29" spans="2:6" ht="64" customHeight="1">
      <c r="B29" s="55" t="s">
        <v>88</v>
      </c>
      <c r="C29" s="55"/>
      <c r="D29" s="48">
        <f>(2*D10)+(D15/18)+(D18/2.8)</f>
        <v>304.03174603174608</v>
      </c>
      <c r="E29" s="56" t="str">
        <f>IF(D29&lt;=280,"低張性低Na血症",IF(D29&gt;=295,"高張性低Na血症","等張性低Na血症"))</f>
        <v>高張性低Na血症</v>
      </c>
      <c r="F29" s="56"/>
    </row>
    <row r="30" spans="2:6" ht="13" customHeight="1"/>
    <row r="31" spans="2:6" ht="13" customHeight="1"/>
    <row r="32" spans="2:6">
      <c r="B32" s="56" t="s">
        <v>92</v>
      </c>
      <c r="C32" s="56"/>
      <c r="D32" s="2" t="s">
        <v>90</v>
      </c>
      <c r="E32" s="56" t="s">
        <v>89</v>
      </c>
      <c r="F32" s="56"/>
    </row>
    <row r="33" spans="2:6" ht="90" customHeight="1">
      <c r="B33" s="55" t="s">
        <v>94</v>
      </c>
      <c r="C33" s="56"/>
      <c r="D33" s="48">
        <f>D18/D19</f>
        <v>27.741935483870968</v>
      </c>
      <c r="E33" s="56" t="str">
        <f>IF(D33&lt;10,"腎性因子",IF(D33&gt;10,"腎外性因子","正常範囲"))</f>
        <v>腎外性因子</v>
      </c>
      <c r="F33" s="56"/>
    </row>
    <row r="34" spans="2:6" ht="14" customHeight="1"/>
    <row r="35" spans="2:6" ht="14" customHeight="1"/>
    <row r="36" spans="2:6" ht="41" customHeight="1">
      <c r="B36" s="55" t="s">
        <v>98</v>
      </c>
      <c r="C36" s="56"/>
      <c r="D36" s="2" t="s">
        <v>90</v>
      </c>
      <c r="E36" s="58" t="s">
        <v>89</v>
      </c>
      <c r="F36" s="59"/>
    </row>
    <row r="37" spans="2:6" ht="65" customHeight="1">
      <c r="B37" s="55" t="s">
        <v>95</v>
      </c>
      <c r="C37" s="56"/>
      <c r="D37" s="49">
        <f>D10-(D12+D23)</f>
        <v>34</v>
      </c>
      <c r="E37" s="58" t="str">
        <f>IF(D37&lt;10,"AG開大",IF(D37&gt;14,"AG開大","正常範囲"))</f>
        <v>AG開大</v>
      </c>
      <c r="F37" s="59"/>
    </row>
  </sheetData>
  <mergeCells count="12">
    <mergeCell ref="B33:C33"/>
    <mergeCell ref="E32:F32"/>
    <mergeCell ref="E33:F33"/>
    <mergeCell ref="B36:C36"/>
    <mergeCell ref="B37:C37"/>
    <mergeCell ref="E36:F36"/>
    <mergeCell ref="E37:F37"/>
    <mergeCell ref="B29:C29"/>
    <mergeCell ref="E29:F29"/>
    <mergeCell ref="E28:F28"/>
    <mergeCell ref="B28:C28"/>
    <mergeCell ref="B32:C32"/>
  </mergeCells>
  <phoneticPr fontId="1"/>
  <conditionalFormatting sqref="D5:F5">
    <cfRule type="cellIs" dxfId="38" priority="40" operator="greaterThan">
      <formula>9000</formula>
    </cfRule>
    <cfRule type="cellIs" dxfId="37" priority="22" operator="lessThan">
      <formula>4000</formula>
    </cfRule>
  </conditionalFormatting>
  <conditionalFormatting sqref="D6:F6">
    <cfRule type="cellIs" dxfId="36" priority="39" operator="greaterThan">
      <formula>480</formula>
    </cfRule>
    <cfRule type="cellIs" dxfId="35" priority="21" operator="lessThan">
      <formula>380</formula>
    </cfRule>
  </conditionalFormatting>
  <conditionalFormatting sqref="D7:F7">
    <cfRule type="cellIs" dxfId="34" priority="20" operator="lessThan">
      <formula>12</formula>
    </cfRule>
    <cfRule type="cellIs" dxfId="33" priority="38" operator="greaterThan">
      <formula>16</formula>
    </cfRule>
  </conditionalFormatting>
  <conditionalFormatting sqref="D8:F8">
    <cfRule type="cellIs" dxfId="32" priority="37" operator="greaterThan">
      <formula>42</formula>
    </cfRule>
    <cfRule type="cellIs" dxfId="31" priority="19" operator="lessThan">
      <formula>36</formula>
    </cfRule>
  </conditionalFormatting>
  <conditionalFormatting sqref="D9:F9">
    <cfRule type="cellIs" dxfId="30" priority="18" operator="lessThan">
      <formula>13</formula>
    </cfRule>
    <cfRule type="cellIs" dxfId="29" priority="36" operator="greaterThan">
      <formula>41</formula>
    </cfRule>
  </conditionalFormatting>
  <conditionalFormatting sqref="D10:F10">
    <cfRule type="cellIs" dxfId="28" priority="34" operator="greaterThan">
      <formula>145</formula>
    </cfRule>
    <cfRule type="cellIs" dxfId="27" priority="17" operator="lessThan">
      <formula>136</formula>
    </cfRule>
  </conditionalFormatting>
  <conditionalFormatting sqref="D11:F11">
    <cfRule type="cellIs" dxfId="26" priority="16" operator="lessThan">
      <formula>3.6</formula>
    </cfRule>
    <cfRule type="cellIs" dxfId="25" priority="33" operator="greaterThan">
      <formula>4.8</formula>
    </cfRule>
  </conditionalFormatting>
  <conditionalFormatting sqref="D12:F12">
    <cfRule type="cellIs" dxfId="24" priority="15" operator="lessThan">
      <formula>96</formula>
    </cfRule>
    <cfRule type="cellIs" dxfId="23" priority="32" operator="greaterThan">
      <formula>108</formula>
    </cfRule>
  </conditionalFormatting>
  <conditionalFormatting sqref="D13:F13">
    <cfRule type="cellIs" dxfId="22" priority="14" operator="lessThan">
      <formula>8.7</formula>
    </cfRule>
    <cfRule type="cellIs" dxfId="21" priority="31" operator="greaterThan">
      <formula>10.3</formula>
    </cfRule>
  </conditionalFormatting>
  <conditionalFormatting sqref="D14:F14">
    <cfRule type="cellIs" dxfId="20" priority="13" operator="lessThan">
      <formula>2.5</formula>
    </cfRule>
    <cfRule type="cellIs" dxfId="19" priority="30" operator="greaterThan">
      <formula>4.6</formula>
    </cfRule>
  </conditionalFormatting>
  <conditionalFormatting sqref="D15:F15">
    <cfRule type="cellIs" dxfId="18" priority="12" operator="lessThan">
      <formula>80</formula>
    </cfRule>
    <cfRule type="cellIs" dxfId="17" priority="29" operator="greaterThan">
      <formula>180</formula>
    </cfRule>
  </conditionalFormatting>
  <conditionalFormatting sqref="D16:F16">
    <cfRule type="cellIs" dxfId="16" priority="11" operator="lessThan">
      <formula>6.7</formula>
    </cfRule>
    <cfRule type="cellIs" dxfId="15" priority="28" operator="greaterThan">
      <formula>8.3</formula>
    </cfRule>
  </conditionalFormatting>
  <conditionalFormatting sqref="D17:F17">
    <cfRule type="cellIs" dxfId="14" priority="10" operator="lessThan">
      <formula>3.8</formula>
    </cfRule>
    <cfRule type="cellIs" dxfId="13" priority="27" operator="greaterThan">
      <formula>5.3</formula>
    </cfRule>
  </conditionalFormatting>
  <conditionalFormatting sqref="D18:F18">
    <cfRule type="cellIs" dxfId="12" priority="9" operator="lessThan">
      <formula>8</formula>
    </cfRule>
    <cfRule type="cellIs" dxfId="11" priority="26" operator="greaterThan">
      <formula>20</formula>
    </cfRule>
  </conditionalFormatting>
  <conditionalFormatting sqref="D19:F19">
    <cfRule type="cellIs" dxfId="10" priority="8" operator="lessThan">
      <formula>0.6</formula>
    </cfRule>
    <cfRule type="cellIs" dxfId="9" priority="25" operator="greaterThan">
      <formula>1.1</formula>
    </cfRule>
  </conditionalFormatting>
  <conditionalFormatting sqref="D20:F20">
    <cfRule type="cellIs" dxfId="8" priority="7" operator="lessThan">
      <formula>90</formula>
    </cfRule>
  </conditionalFormatting>
  <conditionalFormatting sqref="D21:F21">
    <cfRule type="cellIs" dxfId="7" priority="6" operator="lessThan">
      <formula>120</formula>
    </cfRule>
    <cfRule type="cellIs" dxfId="6" priority="24" operator="greaterThan">
      <formula>240</formula>
    </cfRule>
  </conditionalFormatting>
  <conditionalFormatting sqref="D22:F22">
    <cfRule type="cellIs" dxfId="5" priority="23" operator="greaterThan">
      <formula>0.3</formula>
    </cfRule>
    <cfRule type="cellIs" dxfId="4" priority="4" operator="lessThan">
      <formula>0.01</formula>
    </cfRule>
    <cfRule type="cellIs" dxfId="3" priority="5" operator="lessThan">
      <formula>0</formula>
    </cfRule>
  </conditionalFormatting>
  <conditionalFormatting sqref="D23:F23">
    <cfRule type="cellIs" dxfId="2" priority="3" operator="greaterThan">
      <formula>25</formula>
    </cfRule>
    <cfRule type="cellIs" dxfId="1" priority="2" operator="lessThan">
      <formula>23</formula>
    </cfRule>
    <cfRule type="cellIs" dxfId="0" priority="1" operator="greaterThan">
      <formula>25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EE375-98F5-5644-9592-E77B8816E3C1}">
  <sheetPr>
    <tabColor theme="4" tint="0.39997558519241921"/>
  </sheetPr>
  <dimension ref="B2:J22"/>
  <sheetViews>
    <sheetView topLeftCell="A4" workbookViewId="0">
      <selection activeCell="M31" sqref="M31"/>
    </sheetView>
  </sheetViews>
  <sheetFormatPr baseColWidth="10" defaultColWidth="10.7109375" defaultRowHeight="20"/>
  <cols>
    <col min="1" max="1" width="4.42578125" customWidth="1"/>
    <col min="3" max="3" width="13.5703125" bestFit="1" customWidth="1"/>
    <col min="5" max="5" width="10.7109375" customWidth="1"/>
  </cols>
  <sheetData>
    <row r="2" spans="2:10" ht="24">
      <c r="B2" s="34" t="s">
        <v>93</v>
      </c>
    </row>
    <row r="3" spans="2:10" ht="21" thickBot="1"/>
    <row r="4" spans="2:10" ht="80" customHeight="1" thickBot="1">
      <c r="B4" s="37" t="s">
        <v>111</v>
      </c>
      <c r="C4" s="42">
        <v>155</v>
      </c>
      <c r="D4" s="36">
        <f>C4/100</f>
        <v>1.55</v>
      </c>
    </row>
    <row r="5" spans="2:10" ht="80" customHeight="1" thickBot="1">
      <c r="B5" s="37" t="s">
        <v>112</v>
      </c>
      <c r="C5" s="43">
        <v>52.7</v>
      </c>
    </row>
    <row r="6" spans="2:10" ht="7" customHeight="1"/>
    <row r="7" spans="2:10" ht="7" customHeight="1"/>
    <row r="8" spans="2:10" ht="7" customHeight="1"/>
    <row r="9" spans="2:10" ht="7" customHeight="1"/>
    <row r="10" spans="2:10" ht="7" customHeight="1"/>
    <row r="11" spans="2:10" ht="28" thickBot="1">
      <c r="B11" s="38" t="s">
        <v>100</v>
      </c>
      <c r="C11" s="38" t="s">
        <v>101</v>
      </c>
      <c r="D11" s="38" t="s">
        <v>102</v>
      </c>
      <c r="E11" s="38" t="s">
        <v>9</v>
      </c>
      <c r="F11" s="38" t="s">
        <v>103</v>
      </c>
      <c r="G11" s="38" t="s">
        <v>104</v>
      </c>
      <c r="H11" s="38" t="s">
        <v>105</v>
      </c>
      <c r="I11" s="38" t="s">
        <v>115</v>
      </c>
    </row>
    <row r="12" spans="2:10" ht="66" customHeight="1" thickBot="1">
      <c r="B12" s="39">
        <v>7.4889999999999999</v>
      </c>
      <c r="C12" s="40">
        <v>41.3</v>
      </c>
      <c r="D12" s="40">
        <v>161.9</v>
      </c>
      <c r="E12" s="40">
        <v>9.9</v>
      </c>
      <c r="F12" s="40">
        <v>98.4</v>
      </c>
      <c r="G12" s="40">
        <v>0.9</v>
      </c>
      <c r="H12" s="40">
        <v>30.7</v>
      </c>
      <c r="I12" s="41">
        <v>40</v>
      </c>
      <c r="J12">
        <f>I12/100</f>
        <v>0.4</v>
      </c>
    </row>
    <row r="14" spans="2:10" ht="21" thickBot="1">
      <c r="E14" s="62"/>
    </row>
    <row r="15" spans="2:10" ht="21" thickBot="1">
      <c r="B15" s="63" t="s">
        <v>117</v>
      </c>
      <c r="C15" s="65"/>
      <c r="D15" s="64"/>
      <c r="E15" s="62"/>
      <c r="F15" s="63" t="s">
        <v>114</v>
      </c>
      <c r="G15" s="64"/>
    </row>
    <row r="16" spans="2:10">
      <c r="B16" s="61" t="s">
        <v>106</v>
      </c>
      <c r="C16" s="61"/>
      <c r="D16" s="35" t="s">
        <v>107</v>
      </c>
      <c r="F16" s="35" t="s">
        <v>109</v>
      </c>
      <c r="G16" s="35" t="s">
        <v>110</v>
      </c>
    </row>
    <row r="17" spans="2:9" ht="65" customHeight="1">
      <c r="B17" s="56" t="s">
        <v>113</v>
      </c>
      <c r="C17" s="56"/>
      <c r="D17" s="44">
        <f>50+0.91*(C4-152.4)</f>
        <v>52.365999999999993</v>
      </c>
      <c r="E17" s="45"/>
      <c r="F17" s="46">
        <f>$D17*6</f>
        <v>314.19599999999997</v>
      </c>
      <c r="G17" s="46">
        <f>$D17*8</f>
        <v>418.92799999999994</v>
      </c>
    </row>
    <row r="18" spans="2:9">
      <c r="B18" s="56" t="s">
        <v>106</v>
      </c>
      <c r="C18" s="56"/>
      <c r="D18" s="1" t="s">
        <v>108</v>
      </c>
      <c r="F18" s="1" t="s">
        <v>109</v>
      </c>
      <c r="G18" s="1" t="s">
        <v>110</v>
      </c>
    </row>
    <row r="19" spans="2:9" ht="90" customHeight="1">
      <c r="B19" s="56" t="s">
        <v>120</v>
      </c>
      <c r="C19" s="56"/>
      <c r="D19" s="44">
        <f>45.5+0.91*(C4-152.4)</f>
        <v>47.865999999999993</v>
      </c>
      <c r="E19" s="45"/>
      <c r="F19" s="46">
        <f>$D19*6</f>
        <v>287.19599999999997</v>
      </c>
      <c r="G19" s="46">
        <f>$D19*8</f>
        <v>382.92799999999994</v>
      </c>
    </row>
    <row r="20" spans="2:9" ht="21" thickBot="1"/>
    <row r="21" spans="2:9" ht="21" thickBot="1">
      <c r="B21" s="66" t="s">
        <v>116</v>
      </c>
      <c r="C21" s="67"/>
      <c r="D21" s="68"/>
      <c r="F21" s="56" t="s">
        <v>118</v>
      </c>
      <c r="G21" s="56"/>
      <c r="H21" s="56"/>
      <c r="I21" s="56"/>
    </row>
    <row r="22" spans="2:9" ht="87" customHeight="1">
      <c r="B22" s="60">
        <f>(D12/I12)*100</f>
        <v>404.75000000000006</v>
      </c>
      <c r="C22" s="60"/>
      <c r="D22" s="60"/>
      <c r="F22" s="55" t="s">
        <v>119</v>
      </c>
      <c r="G22" s="55"/>
      <c r="H22" s="55"/>
      <c r="I22" s="47">
        <f>(713*J12)-40/0.8-D12</f>
        <v>73.299999999999983</v>
      </c>
    </row>
  </sheetData>
  <mergeCells count="11">
    <mergeCell ref="B22:D22"/>
    <mergeCell ref="B16:C16"/>
    <mergeCell ref="B19:C19"/>
    <mergeCell ref="E14:E15"/>
    <mergeCell ref="F15:G15"/>
    <mergeCell ref="B15:D15"/>
    <mergeCell ref="B21:D21"/>
    <mergeCell ref="B17:C17"/>
    <mergeCell ref="B18:C18"/>
    <mergeCell ref="F21:I21"/>
    <mergeCell ref="F22:H2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高カロリー輸液投与に必要な計算 (簡易式)</vt:lpstr>
      <vt:lpstr>メモ</vt:lpstr>
      <vt:lpstr>高カロリー輸液投与に必要な計算(Haris)</vt:lpstr>
      <vt:lpstr>電解質データ分析</vt:lpstr>
      <vt:lpstr>ABG・呼吸器系アセスメント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聖哉 新留</cp:lastModifiedBy>
  <dcterms:created xsi:type="dcterms:W3CDTF">2022-12-17T09:22:57Z</dcterms:created>
  <dcterms:modified xsi:type="dcterms:W3CDTF">2025-01-09T04:20:44Z</dcterms:modified>
</cp:coreProperties>
</file>